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davidproperty.sharepoint.com/sites/Public/Shared Documents/5. Sales &amp; Acquisitions/6. Research and analysis/Wendy Research/Barrow Analysis/Barrow Clifford September 2023/"/>
    </mc:Choice>
  </mc:AlternateContent>
  <xr:revisionPtr revIDLastSave="58" documentId="8_{B3C68D36-0D8C-4E10-BF97-4F4508ABFEBB}" xr6:coauthVersionLast="47" xr6:coauthVersionMax="47" xr10:uidLastSave="{7302F1FE-2033-49FE-B9EE-71E75201320A}"/>
  <bookViews>
    <workbookView xWindow="-120" yWindow="-120" windowWidth="29040" windowHeight="15840" activeTab="2" xr2:uid="{54CA0669-31BD-A54D-AC22-33ED55868FC3}"/>
  </bookViews>
  <sheets>
    <sheet name="Costs" sheetId="36" r:id="rId1"/>
    <sheet name="P and L " sheetId="30" r:id="rId2"/>
    <sheet name="Brochure Summary" sheetId="35" r:id="rId3"/>
  </sheets>
  <externalReferences>
    <externalReference r:id="rId4"/>
  </externalReferences>
  <definedNames>
    <definedName name="_xlnm.Print_Area" localSheetId="1">'P and L '!$A$1:$S$68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5" l="1"/>
  <c r="E30" i="35"/>
  <c r="D30" i="35"/>
  <c r="D15" i="35"/>
  <c r="C13" i="30" l="1"/>
  <c r="E10" i="30"/>
  <c r="G49" i="35"/>
  <c r="C23" i="35"/>
  <c r="D19" i="35"/>
  <c r="D22" i="35" s="1"/>
  <c r="F55" i="30"/>
  <c r="G55" i="30"/>
  <c r="H55" i="30"/>
  <c r="I55" i="30"/>
  <c r="J55" i="30"/>
  <c r="K55" i="30"/>
  <c r="L55" i="30"/>
  <c r="M55" i="30"/>
  <c r="N55" i="30"/>
  <c r="O55" i="30"/>
  <c r="P55" i="30"/>
  <c r="F33" i="30"/>
  <c r="G33" i="30"/>
  <c r="H33" i="30"/>
  <c r="I33" i="30"/>
  <c r="J33" i="30"/>
  <c r="K33" i="30"/>
  <c r="L33" i="30"/>
  <c r="M33" i="30"/>
  <c r="N33" i="30"/>
  <c r="O33" i="30"/>
  <c r="P33" i="30"/>
  <c r="E33" i="30"/>
  <c r="G10" i="30"/>
  <c r="H10" i="30"/>
  <c r="I10" i="30"/>
  <c r="J10" i="30"/>
  <c r="K10" i="30"/>
  <c r="L10" i="30"/>
  <c r="M10" i="30"/>
  <c r="N10" i="30"/>
  <c r="O10" i="30"/>
  <c r="P10" i="30"/>
  <c r="F10" i="30"/>
  <c r="C65" i="30"/>
  <c r="C20" i="30" s="1"/>
  <c r="D23" i="35" l="1"/>
  <c r="F31" i="35" s="1"/>
  <c r="C22" i="36"/>
  <c r="B15" i="36"/>
  <c r="B14" i="36"/>
  <c r="B13" i="36"/>
  <c r="B12" i="36"/>
  <c r="B11" i="36"/>
  <c r="B9" i="36"/>
  <c r="B6" i="36"/>
  <c r="B5" i="36"/>
  <c r="B4" i="36"/>
  <c r="G44" i="35" l="1"/>
  <c r="G51" i="35"/>
  <c r="E31" i="35"/>
  <c r="L65" i="30"/>
  <c r="L58" i="30"/>
  <c r="C50" i="30"/>
  <c r="C49" i="30"/>
  <c r="P49" i="30" s="1"/>
  <c r="C48" i="30"/>
  <c r="C28" i="30"/>
  <c r="C26" i="30"/>
  <c r="O13" i="30"/>
  <c r="O12" i="30" s="1"/>
  <c r="G13" i="30"/>
  <c r="G12" i="30" s="1"/>
  <c r="C5" i="30"/>
  <c r="P4" i="30"/>
  <c r="O4" i="30"/>
  <c r="N4" i="30"/>
  <c r="M4" i="30"/>
  <c r="L4" i="30"/>
  <c r="K4" i="30"/>
  <c r="J4" i="30"/>
  <c r="I4" i="30"/>
  <c r="H4" i="30"/>
  <c r="G4" i="30"/>
  <c r="F4" i="30"/>
  <c r="E4" i="30"/>
  <c r="L59" i="30" l="1"/>
  <c r="L57" i="30"/>
  <c r="K20" i="30"/>
  <c r="C27" i="30"/>
  <c r="J27" i="30" s="1"/>
  <c r="K58" i="30"/>
  <c r="P13" i="30"/>
  <c r="H13" i="30"/>
  <c r="I13" i="30"/>
  <c r="L13" i="30"/>
  <c r="F58" i="30"/>
  <c r="N58" i="30"/>
  <c r="F13" i="30"/>
  <c r="N13" i="30"/>
  <c r="I58" i="30"/>
  <c r="M58" i="30"/>
  <c r="E65" i="30"/>
  <c r="G65" i="30"/>
  <c r="H65" i="30"/>
  <c r="K65" i="30"/>
  <c r="M65" i="30"/>
  <c r="N65" i="30"/>
  <c r="O65" i="30"/>
  <c r="P65" i="30"/>
  <c r="F65" i="30"/>
  <c r="O16" i="30"/>
  <c r="O14" i="30"/>
  <c r="G16" i="30"/>
  <c r="G14" i="30"/>
  <c r="J13" i="30"/>
  <c r="J49" i="30"/>
  <c r="G58" i="30"/>
  <c r="G57" i="30" s="1"/>
  <c r="O58" i="30"/>
  <c r="I65" i="30"/>
  <c r="I49" i="30"/>
  <c r="K13" i="30"/>
  <c r="K49" i="30"/>
  <c r="H58" i="30"/>
  <c r="P58" i="30"/>
  <c r="J65" i="30"/>
  <c r="L49" i="30"/>
  <c r="L61" i="30" s="1"/>
  <c r="L63" i="30" s="1"/>
  <c r="M13" i="30"/>
  <c r="M12" i="30" s="1"/>
  <c r="E49" i="30"/>
  <c r="M49" i="30"/>
  <c r="J58" i="30"/>
  <c r="F49" i="30"/>
  <c r="N49" i="30"/>
  <c r="G49" i="30"/>
  <c r="O49" i="30"/>
  <c r="H49" i="30"/>
  <c r="P59" i="30" l="1"/>
  <c r="P57" i="30"/>
  <c r="M59" i="30"/>
  <c r="M57" i="30"/>
  <c r="I16" i="30"/>
  <c r="I12" i="30"/>
  <c r="P14" i="30"/>
  <c r="P12" i="30"/>
  <c r="H59" i="30"/>
  <c r="H57" i="30"/>
  <c r="K14" i="30"/>
  <c r="K12" i="30"/>
  <c r="N59" i="30"/>
  <c r="N57" i="30"/>
  <c r="O59" i="30"/>
  <c r="O57" i="30"/>
  <c r="I59" i="30"/>
  <c r="I57" i="30"/>
  <c r="J14" i="30"/>
  <c r="J12" i="30"/>
  <c r="N14" i="30"/>
  <c r="N12" i="30"/>
  <c r="F14" i="30"/>
  <c r="F12" i="30"/>
  <c r="F59" i="30"/>
  <c r="F57" i="30"/>
  <c r="H14" i="30"/>
  <c r="H12" i="30"/>
  <c r="K59" i="30"/>
  <c r="K57" i="30"/>
  <c r="J59" i="30"/>
  <c r="J57" i="30"/>
  <c r="L14" i="30"/>
  <c r="L12" i="30"/>
  <c r="O18" i="30"/>
  <c r="G18" i="30"/>
  <c r="G22" i="30" s="1"/>
  <c r="K27" i="30"/>
  <c r="P27" i="30"/>
  <c r="L27" i="30"/>
  <c r="M27" i="30"/>
  <c r="I27" i="30"/>
  <c r="O27" i="30"/>
  <c r="N27" i="30"/>
  <c r="H27" i="30"/>
  <c r="F27" i="30"/>
  <c r="E27" i="30"/>
  <c r="G27" i="30"/>
  <c r="E20" i="30"/>
  <c r="G20" i="30"/>
  <c r="L20" i="30"/>
  <c r="P20" i="30"/>
  <c r="H20" i="30"/>
  <c r="C43" i="30"/>
  <c r="M43" i="30" s="1"/>
  <c r="N20" i="30"/>
  <c r="I20" i="30"/>
  <c r="J20" i="30"/>
  <c r="F20" i="30"/>
  <c r="M20" i="30"/>
  <c r="O20" i="30"/>
  <c r="F61" i="30"/>
  <c r="O61" i="30"/>
  <c r="K61" i="30"/>
  <c r="N61" i="30"/>
  <c r="I14" i="30"/>
  <c r="I18" i="30" s="1"/>
  <c r="M61" i="30"/>
  <c r="I61" i="30"/>
  <c r="H61" i="30"/>
  <c r="G61" i="30"/>
  <c r="P16" i="30"/>
  <c r="H16" i="30"/>
  <c r="H18" i="30" s="1"/>
  <c r="J16" i="30"/>
  <c r="J18" i="30" s="1"/>
  <c r="N16" i="30"/>
  <c r="N18" i="30" s="1"/>
  <c r="L16" i="30"/>
  <c r="L18" i="30" s="1"/>
  <c r="F16" i="30"/>
  <c r="R65" i="30"/>
  <c r="P43" i="30"/>
  <c r="G59" i="30"/>
  <c r="M16" i="30"/>
  <c r="M14" i="30"/>
  <c r="J61" i="30"/>
  <c r="J63" i="30" s="1"/>
  <c r="L67" i="30"/>
  <c r="K16" i="30"/>
  <c r="K18" i="30" s="1"/>
  <c r="P61" i="30"/>
  <c r="P63" i="30" s="1"/>
  <c r="P18" i="30" l="1"/>
  <c r="F18" i="30"/>
  <c r="G63" i="30"/>
  <c r="G67" i="30" s="1"/>
  <c r="O22" i="30"/>
  <c r="M18" i="30"/>
  <c r="M22" i="30" s="1"/>
  <c r="M63" i="30"/>
  <c r="M67" i="30" s="1"/>
  <c r="N63" i="30"/>
  <c r="N67" i="30" s="1"/>
  <c r="K63" i="30"/>
  <c r="K67" i="30" s="1"/>
  <c r="O63" i="30"/>
  <c r="O67" i="30" s="1"/>
  <c r="H63" i="30"/>
  <c r="H67" i="30" s="1"/>
  <c r="I63" i="30"/>
  <c r="I67" i="30" s="1"/>
  <c r="F63" i="30"/>
  <c r="F67" i="30" s="1"/>
  <c r="J22" i="30"/>
  <c r="H43" i="30"/>
  <c r="I43" i="30"/>
  <c r="F43" i="30"/>
  <c r="K43" i="30"/>
  <c r="G43" i="30"/>
  <c r="L43" i="30"/>
  <c r="J43" i="30"/>
  <c r="O43" i="30"/>
  <c r="E43" i="30"/>
  <c r="N43" i="30"/>
  <c r="R20" i="30"/>
  <c r="I22" i="30"/>
  <c r="N22" i="30"/>
  <c r="P22" i="30"/>
  <c r="H22" i="30"/>
  <c r="L22" i="30"/>
  <c r="F22" i="30"/>
  <c r="J67" i="30"/>
  <c r="P67" i="30"/>
  <c r="K22" i="30"/>
  <c r="R43" i="30" l="1"/>
  <c r="D17" i="35" l="1"/>
  <c r="R10" i="30" l="1"/>
  <c r="C11" i="30" s="1"/>
  <c r="C16" i="30"/>
  <c r="E13" i="30" l="1"/>
  <c r="E12" i="30" s="1"/>
  <c r="E14" i="30" l="1"/>
  <c r="R14" i="30" s="1"/>
  <c r="C14" i="30" s="1"/>
  <c r="E16" i="30"/>
  <c r="R13" i="30"/>
  <c r="E18" i="30" l="1"/>
  <c r="R18" i="30" s="1"/>
  <c r="C18" i="30" s="1"/>
  <c r="C22" i="30" s="1"/>
  <c r="R16" i="30"/>
  <c r="E22" i="30" l="1"/>
  <c r="R22" i="30" s="1"/>
  <c r="C28" i="35" s="1"/>
  <c r="E29" i="35" s="1"/>
  <c r="E32" i="35" l="1"/>
  <c r="E33" i="35" s="1"/>
  <c r="F29" i="35"/>
  <c r="E36" i="35" l="1"/>
  <c r="E37" i="35" s="1"/>
  <c r="E35" i="35"/>
  <c r="F32" i="35"/>
  <c r="F33" i="35" s="1"/>
  <c r="G41" i="35"/>
  <c r="G42" i="35" s="1"/>
  <c r="G43" i="35" s="1"/>
  <c r="F36" i="35" l="1"/>
  <c r="G52" i="35" s="1"/>
  <c r="G53" i="35" s="1"/>
  <c r="F35" i="35"/>
  <c r="G46" i="35"/>
  <c r="F34" i="35"/>
  <c r="E34" i="35"/>
  <c r="F37" i="35" l="1"/>
  <c r="G55" i="35"/>
  <c r="G56" i="35" s="1"/>
  <c r="G60" i="35" s="1"/>
  <c r="G61" i="35" s="1"/>
  <c r="G62" i="35" s="1"/>
  <c r="G57" i="35" l="1"/>
  <c r="E36" i="30"/>
  <c r="E35" i="30" s="1"/>
  <c r="I36" i="30"/>
  <c r="I35" i="30" s="1"/>
  <c r="C36" i="30"/>
  <c r="C39" i="30" s="1"/>
  <c r="F36" i="30"/>
  <c r="F35" i="30" s="1"/>
  <c r="G36" i="30"/>
  <c r="H36" i="30"/>
  <c r="H35" i="30" s="1"/>
  <c r="J36" i="30"/>
  <c r="J35" i="30" s="1"/>
  <c r="K36" i="30"/>
  <c r="L36" i="30"/>
  <c r="M36" i="30"/>
  <c r="N36" i="30"/>
  <c r="O36" i="30"/>
  <c r="P36" i="30"/>
  <c r="J37" i="30"/>
  <c r="H37" i="30" l="1"/>
  <c r="P37" i="30"/>
  <c r="P35" i="30"/>
  <c r="G39" i="30"/>
  <c r="G35" i="30"/>
  <c r="O39" i="30"/>
  <c r="O35" i="30"/>
  <c r="P39" i="30"/>
  <c r="P41" i="30" s="1"/>
  <c r="P45" i="30" s="1"/>
  <c r="M39" i="30"/>
  <c r="M41" i="30" s="1"/>
  <c r="M45" i="30" s="1"/>
  <c r="M35" i="30"/>
  <c r="J39" i="30"/>
  <c r="N39" i="30"/>
  <c r="N35" i="30"/>
  <c r="L37" i="30"/>
  <c r="L35" i="30"/>
  <c r="H39" i="30"/>
  <c r="H41" i="30" s="1"/>
  <c r="H45" i="30" s="1"/>
  <c r="K39" i="30"/>
  <c r="K35" i="30"/>
  <c r="K37" i="30"/>
  <c r="M37" i="30"/>
  <c r="L39" i="30"/>
  <c r="L41" i="30"/>
  <c r="L45" i="30" s="1"/>
  <c r="E39" i="30"/>
  <c r="E37" i="30"/>
  <c r="I37" i="30"/>
  <c r="I39" i="30"/>
  <c r="R36" i="30"/>
  <c r="O37" i="30"/>
  <c r="G37" i="30"/>
  <c r="G41" i="30" s="1"/>
  <c r="G45" i="30" s="1"/>
  <c r="J41" i="30"/>
  <c r="J45" i="30" s="1"/>
  <c r="N37" i="30"/>
  <c r="N41" i="30" s="1"/>
  <c r="N45" i="30" s="1"/>
  <c r="F37" i="30"/>
  <c r="R33" i="30"/>
  <c r="C34" i="30" s="1"/>
  <c r="F39" i="30"/>
  <c r="C37" i="30"/>
  <c r="C41" i="30" s="1"/>
  <c r="C45" i="30" s="1"/>
  <c r="O41" i="30" l="1"/>
  <c r="O45" i="30" s="1"/>
  <c r="K41" i="30"/>
  <c r="K45" i="30" s="1"/>
  <c r="R37" i="30"/>
  <c r="E41" i="30"/>
  <c r="E45" i="30" s="1"/>
  <c r="I41" i="30"/>
  <c r="I45" i="30" s="1"/>
  <c r="F41" i="30"/>
  <c r="R39" i="30"/>
  <c r="R41" i="30" l="1"/>
  <c r="F45" i="30"/>
  <c r="R45" i="30" s="1"/>
  <c r="E55" i="30"/>
  <c r="R55" i="30" s="1"/>
  <c r="C56" i="30" s="1"/>
  <c r="C58" i="30"/>
  <c r="C59" i="30" s="1"/>
  <c r="C61" i="30" l="1"/>
  <c r="E58" i="30"/>
  <c r="E61" i="30"/>
  <c r="E59" i="30"/>
  <c r="R59" i="30" s="1"/>
  <c r="R58" i="30" l="1"/>
  <c r="E57" i="30"/>
  <c r="E63" i="30"/>
  <c r="R63" i="30" s="1"/>
  <c r="C63" i="30" s="1"/>
  <c r="C67" i="30" s="1"/>
  <c r="R61" i="30"/>
  <c r="E67" i="30" l="1"/>
  <c r="R67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 Smith</author>
  </authors>
  <commentList>
    <comment ref="E5" authorId="0" shapeId="0" xr:uid="{12BFB20E-AF37-4C60-8FD4-891AC4689485}">
      <text>
        <r>
          <rPr>
            <sz val="11"/>
            <color theme="1"/>
            <rFont val="Calibri"/>
            <family val="2"/>
            <scheme val="minor"/>
          </rPr>
          <t>W Smith:
Bank Holiday</t>
        </r>
      </text>
    </comment>
    <comment ref="H5" authorId="0" shapeId="0" xr:uid="{ABF95DD9-B2A1-47F3-B383-E936DDC61FBE}">
      <text>
        <r>
          <rPr>
            <sz val="11"/>
            <color theme="1"/>
            <rFont val="Calibri"/>
            <family val="2"/>
            <scheme val="minor"/>
          </rPr>
          <t xml:space="preserve">W Smith:
2 bank holidays for Easter
</t>
        </r>
      </text>
    </comment>
    <comment ref="I5" authorId="0" shapeId="0" xr:uid="{A2256E9F-0620-4F05-9362-50AD9873B732}">
      <text>
        <r>
          <rPr>
            <sz val="11"/>
            <color theme="1"/>
            <rFont val="Calibri"/>
            <family val="2"/>
            <scheme val="minor"/>
          </rPr>
          <t xml:space="preserve">W Smith:
2 bank holidays
</t>
        </r>
      </text>
    </comment>
    <comment ref="K5" authorId="0" shapeId="0" xr:uid="{73BBE008-4A43-4204-BEA4-EC6D09E2BDE9}">
      <text>
        <r>
          <rPr>
            <sz val="11"/>
            <color theme="1"/>
            <rFont val="Calibri"/>
            <family val="2"/>
            <scheme val="minor"/>
          </rPr>
          <t>W Smith:
School Holidays</t>
        </r>
      </text>
    </comment>
    <comment ref="L5" authorId="0" shapeId="0" xr:uid="{92A6A2E3-F0B7-4112-9BA1-B92DF8AA42EF}">
      <text>
        <r>
          <rPr>
            <sz val="11"/>
            <color theme="1"/>
            <rFont val="Calibri"/>
            <family val="2"/>
            <scheme val="minor"/>
          </rPr>
          <t xml:space="preserve">W Smith:
School Holidays inc Bank Holiday
</t>
        </r>
      </text>
    </comment>
    <comment ref="P5" authorId="0" shapeId="0" xr:uid="{9BE009DA-9B60-44D7-B878-507F5AB5BFD0}">
      <text>
        <r>
          <rPr>
            <sz val="11"/>
            <color theme="1"/>
            <rFont val="Calibri"/>
            <family val="2"/>
            <scheme val="minor"/>
          </rPr>
          <t>W Smith:
Christmas</t>
        </r>
      </text>
    </comment>
    <comment ref="E28" authorId="0" shapeId="0" xr:uid="{720A78C5-FB60-4054-B609-EAC4D5FE3F67}">
      <text>
        <r>
          <rPr>
            <sz val="11"/>
            <color theme="1"/>
            <rFont val="Calibri"/>
            <family val="2"/>
            <scheme val="minor"/>
          </rPr>
          <t>W Smith:
Bank Holiday</t>
        </r>
      </text>
    </comment>
    <comment ref="H28" authorId="0" shapeId="0" xr:uid="{AF797F3B-073A-4BDE-877F-F069062DE764}">
      <text>
        <r>
          <rPr>
            <sz val="11"/>
            <color theme="1"/>
            <rFont val="Calibri"/>
            <family val="2"/>
            <scheme val="minor"/>
          </rPr>
          <t xml:space="preserve">W Smith:
2 bank holidays for Easter
</t>
        </r>
      </text>
    </comment>
    <comment ref="I28" authorId="0" shapeId="0" xr:uid="{BB329D44-2728-4EF4-938E-DA6110A8AD48}">
      <text>
        <r>
          <rPr>
            <sz val="11"/>
            <color theme="1"/>
            <rFont val="Calibri"/>
            <family val="2"/>
            <scheme val="minor"/>
          </rPr>
          <t xml:space="preserve">W Smith:
2 bank holidays
</t>
        </r>
      </text>
    </comment>
    <comment ref="K28" authorId="0" shapeId="0" xr:uid="{EF05EDCD-1621-49A8-8C51-DEF31104CE75}">
      <text>
        <r>
          <rPr>
            <sz val="11"/>
            <color theme="1"/>
            <rFont val="Calibri"/>
            <family val="2"/>
            <scheme val="minor"/>
          </rPr>
          <t>W Smith:
School Holidays</t>
        </r>
      </text>
    </comment>
    <comment ref="L28" authorId="0" shapeId="0" xr:uid="{2158380A-810E-4162-A2AD-9C033CC05A4D}">
      <text>
        <r>
          <rPr>
            <sz val="11"/>
            <color theme="1"/>
            <rFont val="Calibri"/>
            <family val="2"/>
            <scheme val="minor"/>
          </rPr>
          <t xml:space="preserve">W Smith:
School Holidays inc Bank Holiday
</t>
        </r>
      </text>
    </comment>
    <comment ref="P28" authorId="0" shapeId="0" xr:uid="{5B3195E7-0A2B-487D-A108-E60BDA5D041B}">
      <text>
        <r>
          <rPr>
            <sz val="11"/>
            <color theme="1"/>
            <rFont val="Calibri"/>
            <family val="2"/>
            <scheme val="minor"/>
          </rPr>
          <t>W Smith:
Christmas</t>
        </r>
      </text>
    </comment>
    <comment ref="E50" authorId="0" shapeId="0" xr:uid="{7BA4AFE2-D99C-4E4C-A723-ABB2804E3A73}">
      <text>
        <r>
          <rPr>
            <sz val="11"/>
            <color theme="1"/>
            <rFont val="Calibri"/>
            <family val="2"/>
            <scheme val="minor"/>
          </rPr>
          <t>W Smith:
Bank Holiday</t>
        </r>
      </text>
    </comment>
    <comment ref="H50" authorId="0" shapeId="0" xr:uid="{841200A6-DCEF-4F7A-BA78-EED51B05359B}">
      <text>
        <r>
          <rPr>
            <sz val="11"/>
            <color theme="1"/>
            <rFont val="Calibri"/>
            <family val="2"/>
            <scheme val="minor"/>
          </rPr>
          <t xml:space="preserve">W Smith:
2 bank holidays for Easter
</t>
        </r>
      </text>
    </comment>
    <comment ref="I50" authorId="0" shapeId="0" xr:uid="{9B123932-C02C-4BCB-B2B2-126AC0B361D0}">
      <text>
        <r>
          <rPr>
            <sz val="11"/>
            <color theme="1"/>
            <rFont val="Calibri"/>
            <family val="2"/>
            <scheme val="minor"/>
          </rPr>
          <t xml:space="preserve">W Smith:
2 bank holidays
</t>
        </r>
      </text>
    </comment>
    <comment ref="K50" authorId="0" shapeId="0" xr:uid="{0B2A944A-BF35-4494-9192-380C1AE88B46}">
      <text>
        <r>
          <rPr>
            <sz val="11"/>
            <color theme="1"/>
            <rFont val="Calibri"/>
            <family val="2"/>
            <scheme val="minor"/>
          </rPr>
          <t>W Smith:
School Holidays</t>
        </r>
      </text>
    </comment>
    <comment ref="L50" authorId="0" shapeId="0" xr:uid="{D4A3AC73-AE78-4305-BBD6-F2A67710FD86}">
      <text>
        <r>
          <rPr>
            <sz val="11"/>
            <color theme="1"/>
            <rFont val="Calibri"/>
            <family val="2"/>
            <scheme val="minor"/>
          </rPr>
          <t xml:space="preserve">W Smith:
School Holidays inc Bank Holiday
</t>
        </r>
      </text>
    </comment>
    <comment ref="P50" authorId="0" shapeId="0" xr:uid="{02690EC9-816A-4947-8CDF-DE70E32ED94A}">
      <text>
        <r>
          <rPr>
            <sz val="11"/>
            <color theme="1"/>
            <rFont val="Calibri"/>
            <family val="2"/>
            <scheme val="minor"/>
          </rPr>
          <t>W Smith:
Christmas</t>
        </r>
      </text>
    </comment>
  </commentList>
</comments>
</file>

<file path=xl/sharedStrings.xml><?xml version="1.0" encoding="utf-8"?>
<sst xmlns="http://schemas.openxmlformats.org/spreadsheetml/2006/main" count="182" uniqueCount="106">
  <si>
    <t>Cleaning</t>
  </si>
  <si>
    <t>Business Rates</t>
  </si>
  <si>
    <t>Fixed Costs</t>
  </si>
  <si>
    <t>Annually</t>
  </si>
  <si>
    <t>(+VAT)</t>
  </si>
  <si>
    <t>Laundry</t>
  </si>
  <si>
    <t>No VAT</t>
  </si>
  <si>
    <t>Water Rates</t>
  </si>
  <si>
    <t>WiFi</t>
  </si>
  <si>
    <t>TV Licence</t>
  </si>
  <si>
    <t>Insurance</t>
  </si>
  <si>
    <t>Fire Safety, Gas Safety, Compliance</t>
  </si>
  <si>
    <t>Accountant and Professional Fees</t>
  </si>
  <si>
    <t>Variable Costs</t>
  </si>
  <si>
    <t>Per Stay</t>
  </si>
  <si>
    <t>Advertising</t>
  </si>
  <si>
    <t>Per Occupied Night</t>
  </si>
  <si>
    <t>Gas and Electricity</t>
  </si>
  <si>
    <t>CONSERVATIVE</t>
  </si>
  <si>
    <t>Average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</si>
  <si>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</si>
  <si>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</si>
  <si>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</si>
  <si>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</si>
  <si>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</si>
  <si>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</si>
  <si>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</si>
  <si>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</si>
  <si>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</si>
  <si>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</si>
  <si>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</si>
  <si>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</si>
  <si>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Totals</t>
  </si>
  <si>
    <t>No Units</t>
  </si>
  <si>
    <t>Average Nightly Room Rate (Inc VAT)</t>
  </si>
  <si>
    <t>Av. No. Nights Occupied / Month</t>
  </si>
  <si>
    <t>Av No. Stays / Month</t>
  </si>
  <si>
    <t>Monthly Revenue (Net of VAT)</t>
  </si>
  <si>
    <t>Variable Costs (Net of VAT)</t>
  </si>
  <si>
    <t>Monthly Fixed Costs (Net of VAT)</t>
  </si>
  <si>
    <t>EXPECTED</t>
  </si>
  <si>
    <t>TARGET</t>
  </si>
  <si>
    <t xml:space="preserve">No of weeks </t>
  </si>
  <si>
    <t>No of rooms occupied 5 days a week</t>
  </si>
  <si>
    <t>No of rooms occupied 4  days a week</t>
  </si>
  <si>
    <t>No of rooms occupied 3 days a week</t>
  </si>
  <si>
    <t>No of days occupied by tourists</t>
  </si>
  <si>
    <t>Expected Total Occupied Days</t>
  </si>
  <si>
    <t>Profit Before Interest and Tax</t>
  </si>
  <si>
    <t>No of weeks</t>
  </si>
  <si>
    <t>Target Total Occupied Days</t>
  </si>
  <si>
    <t>Conservative Total Occupied Days</t>
  </si>
  <si>
    <t>Assa Abloy (remote electronic door locking software)</t>
  </si>
  <si>
    <t>Flexipass (keyless door locking via smartphone)</t>
  </si>
  <si>
    <t>Mews Property Management Software</t>
  </si>
  <si>
    <t>Siteminder Software (advertising, booking and pricing software)</t>
  </si>
  <si>
    <t>Maintenance, Repairs and Renewals</t>
  </si>
  <si>
    <t>Consumables (eg shampoo, tea and coffee etc)</t>
  </si>
  <si>
    <t>Financial Summary</t>
  </si>
  <si>
    <t>Year one- acquisition and refurbishment</t>
  </si>
  <si>
    <t xml:space="preserve">Acquisition of Project </t>
  </si>
  <si>
    <t>Stamp Duty and Legal Fees</t>
  </si>
  <si>
    <t xml:space="preserve">Refurbishment </t>
  </si>
  <si>
    <t>Furniture</t>
  </si>
  <si>
    <t xml:space="preserve">Miscellaneous </t>
  </si>
  <si>
    <t xml:space="preserve">Year 1 </t>
  </si>
  <si>
    <t xml:space="preserve">Year 2 </t>
  </si>
  <si>
    <t xml:space="preserve">Year 3 </t>
  </si>
  <si>
    <t>Sales Yield reflecting extent of track record</t>
  </si>
  <si>
    <t>Project Management Fee</t>
  </si>
  <si>
    <t>Surplus Annual Income</t>
  </si>
  <si>
    <t>St David Property Management Fees</t>
  </si>
  <si>
    <t>Performance (Annual)</t>
  </si>
  <si>
    <t>St David Exit Profit Share</t>
  </si>
  <si>
    <t>Margin/Profit</t>
  </si>
  <si>
    <t>Projected Net Rental Income as at  Oct 2023</t>
  </si>
  <si>
    <t>Performance up to point of sale/exit</t>
  </si>
  <si>
    <t>Actual Occupancy</t>
  </si>
  <si>
    <t>Average Occupancy Target</t>
  </si>
  <si>
    <t>Actuak Occupancy</t>
  </si>
  <si>
    <t>Proportion of Funds from Fixed Interest Loans</t>
  </si>
  <si>
    <t>Proportion of Funds from JV Investors</t>
  </si>
  <si>
    <t>Sale by End of Year 3</t>
  </si>
  <si>
    <t>JV Investor share of surplus income/interest</t>
  </si>
  <si>
    <t>NOI Year 3</t>
  </si>
  <si>
    <t>Sales Value based on NOI Year 3</t>
  </si>
  <si>
    <t>Repayment of all Loans</t>
  </si>
  <si>
    <t>Return on loans (Pre-tax)</t>
  </si>
  <si>
    <t>Total Investment/loans required</t>
  </si>
  <si>
    <t>Projected Net Rental Income ( assumed RPI at 5%)</t>
  </si>
  <si>
    <t>Interest to FI Investors before tax</t>
  </si>
  <si>
    <t>Interest to JV investor  before tax</t>
  </si>
  <si>
    <t>Annualised interest on JV loan ( After tax)</t>
  </si>
  <si>
    <t>FI Interest (based on 100% FI loans)</t>
  </si>
  <si>
    <t>Sales Costs  at 3%</t>
  </si>
  <si>
    <t>Investment period in years</t>
  </si>
  <si>
    <t xml:space="preserve">Target Total Project Interest to JV Investor </t>
  </si>
  <si>
    <t>Surplus Sales Income for Distribution (14 minus 19)                          (based on JV investor loans)</t>
  </si>
  <si>
    <t>JV Investor interest ( after witholding tax)</t>
  </si>
  <si>
    <t>Target Project Return per year (15% After Tax)</t>
  </si>
  <si>
    <t>Interest received to date - 2 years ( after witholding tax)</t>
  </si>
  <si>
    <t>Investor initial share of sales income (17) to reach 15% before profit split (allowing for witholding tax)</t>
  </si>
  <si>
    <t>Investor Share of Surplus Sale Income (After tax)                             (based on the percentage of JV loans to total loans)</t>
  </si>
  <si>
    <t>Total Investor Interest (After Tax)</t>
  </si>
  <si>
    <t>Total Return (After Tax)</t>
  </si>
  <si>
    <t>Annualised interest for JV investor ( After Tax)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</si>
</sst>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164" formatCode="&quot;£&quot;#,##0_);\(&quot;£&quot;#,##0\)"/>
    <numFmt numFmtId="165" formatCode="&quot;£&quot;#,##0"/>
    <numFmt numFmtId="166" formatCode="0.0%"/>
    <numFmt numFmtId="167" formatCode="&quot;£&quot;#,##0.00"/>
    <numFmt numFmtId="168" formatCode="0.0"/>
    <numFmt numFmtId="169" formatCode="_-&quot;£&quot;* #,##0_-;\-&quot;£&quot;* #,##0_-;_-&quot;£&quot;* &quot;-&quot;??_-;_-@_-"/>
    <numFmt numFmtId="170" formatCode="#,##0_ ;\-#,##0\ "/>
    <numFmt numFmtId="171" formatCode="#,##0.0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8" fillId="0" borderId="0" applyNumberFormat="0" applyBorder="0" applyAlignment="0"/>
    <xf numFmtId="0" fontId="6" fillId="0" borderId="0"/>
    <xf numFmtId="0" fontId="5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10" applyProtection="1">
      <protection locked="0"/>
    </xf>
    <xf numFmtId="169" fontId="0" fillId="0" borderId="0" xfId="11" applyNumberFormat="1" applyFont="1" applyProtection="1">
      <protection locked="0"/>
    </xf>
    <xf numFmtId="0" fontId="14" fillId="0" borderId="4" xfId="10" applyFont="1" applyBorder="1" applyAlignment="1" applyProtection="1">
      <alignment horizontal="center" vertical="center" wrapText="1"/>
      <protection locked="0"/>
    </xf>
    <xf numFmtId="0" fontId="12" fillId="0" borderId="5" xfId="10" applyFont="1" applyBorder="1" applyAlignment="1" applyProtection="1">
      <alignment horizontal="center" vertical="center" wrapText="1"/>
      <protection locked="0"/>
    </xf>
    <xf numFmtId="169" fontId="12" fillId="0" borderId="6" xfId="11" applyNumberFormat="1" applyFont="1" applyBorder="1" applyAlignment="1" applyProtection="1">
      <alignment horizontal="center" vertical="center" wrapText="1"/>
      <protection locked="0"/>
    </xf>
    <xf numFmtId="0" fontId="2" fillId="0" borderId="0" xfId="10" applyAlignment="1" applyProtection="1">
      <alignment wrapText="1"/>
      <protection locked="0"/>
    </xf>
    <xf numFmtId="44" fontId="2" fillId="0" borderId="0" xfId="10" applyNumberFormat="1" applyProtection="1">
      <protection locked="0"/>
    </xf>
    <xf numFmtId="169" fontId="2" fillId="0" borderId="0" xfId="10" applyNumberFormat="1" applyProtection="1">
      <protection locked="0"/>
    </xf>
    <xf numFmtId="0" fontId="2" fillId="0" borderId="0" xfId="10" applyAlignment="1" applyProtection="1">
      <alignment horizontal="right"/>
      <protection locked="0"/>
    </xf>
    <xf numFmtId="0" fontId="2" fillId="0" borderId="0" xfId="10" applyAlignment="1" applyProtection="1">
      <alignment horizontal="left"/>
      <protection locked="0"/>
    </xf>
    <xf numFmtId="0" fontId="2" fillId="0" borderId="0" xfId="10" applyAlignment="1" applyProtection="1">
      <alignment horizontal="center"/>
      <protection locked="0"/>
    </xf>
    <xf numFmtId="169" fontId="0" fillId="0" borderId="0" xfId="11" applyNumberFormat="1" applyFont="1" applyAlignment="1" applyProtection="1">
      <alignment horizontal="right"/>
      <protection locked="0"/>
    </xf>
    <xf numFmtId="0" fontId="12" fillId="0" borderId="0" xfId="10" applyFont="1" applyProtection="1">
      <protection locked="0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2" fillId="0" borderId="1" xfId="13" applyFont="1" applyBorder="1" applyAlignment="1">
      <alignment horizontal="center" vertical="center"/>
    </xf>
    <xf numFmtId="0" fontId="12" fillId="0" borderId="15" xfId="13" applyFont="1" applyBorder="1" applyAlignment="1">
      <alignment horizontal="center" vertical="center" wrapText="1"/>
    </xf>
    <xf numFmtId="0" fontId="12" fillId="0" borderId="1" xfId="13" applyFont="1" applyBorder="1" applyAlignment="1">
      <alignment horizontal="center" vertical="center" wrapText="1"/>
    </xf>
    <xf numFmtId="0" fontId="1" fillId="0" borderId="1" xfId="13" applyBorder="1"/>
    <xf numFmtId="0" fontId="1" fillId="0" borderId="0" xfId="13"/>
    <xf numFmtId="0" fontId="1" fillId="0" borderId="16" xfId="13" applyBorder="1"/>
    <xf numFmtId="0" fontId="1" fillId="0" borderId="12" xfId="13" applyBorder="1"/>
    <xf numFmtId="169" fontId="0" fillId="0" borderId="0" xfId="14" applyNumberFormat="1" applyFont="1" applyBorder="1"/>
    <xf numFmtId="169" fontId="0" fillId="0" borderId="11" xfId="14" applyNumberFormat="1" applyFont="1" applyBorder="1"/>
    <xf numFmtId="0" fontId="1" fillId="0" borderId="17" xfId="13" applyBorder="1"/>
    <xf numFmtId="0" fontId="1" fillId="0" borderId="13" xfId="13" applyBorder="1"/>
    <xf numFmtId="0" fontId="1" fillId="0" borderId="14" xfId="13" applyBorder="1"/>
    <xf numFmtId="44" fontId="0" fillId="0" borderId="0" xfId="14" applyFont="1" applyBorder="1"/>
    <xf numFmtId="44" fontId="1" fillId="0" borderId="0" xfId="13" applyNumberFormat="1"/>
    <xf numFmtId="44" fontId="0" fillId="0" borderId="11" xfId="14" applyFont="1" applyBorder="1"/>
    <xf numFmtId="166" fontId="1" fillId="0" borderId="11" xfId="13" applyNumberFormat="1" applyBorder="1"/>
    <xf numFmtId="166" fontId="1" fillId="0" borderId="0" xfId="13" applyNumberFormat="1"/>
    <xf numFmtId="0" fontId="12" fillId="0" borderId="0" xfId="13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5" xfId="10" applyBorder="1" applyAlignment="1" applyProtection="1">
      <alignment horizontal="center" vertical="center" wrapText="1"/>
      <protection locked="0"/>
    </xf>
    <xf numFmtId="0" fontId="12" fillId="0" borderId="2" xfId="10" applyFont="1" applyBorder="1" applyAlignment="1" applyProtection="1">
      <alignment horizontal="center" vertical="center"/>
      <protection locked="0"/>
    </xf>
    <xf numFmtId="0" fontId="2" fillId="3" borderId="0" xfId="10" applyFill="1" applyAlignment="1" applyProtection="1">
      <alignment horizontal="center" vertical="center"/>
      <protection locked="0"/>
    </xf>
    <xf numFmtId="0" fontId="2" fillId="0" borderId="0" xfId="10" applyAlignment="1" applyProtection="1">
      <alignment horizontal="center" vertical="center"/>
      <protection locked="0"/>
    </xf>
    <xf numFmtId="169" fontId="0" fillId="0" borderId="3" xfId="11" applyNumberFormat="1" applyFont="1" applyBorder="1" applyAlignment="1" applyProtection="1">
      <alignment horizontal="center" vertical="center"/>
      <protection locked="0"/>
    </xf>
    <xf numFmtId="164" fontId="0" fillId="2" borderId="0" xfId="11" applyNumberFormat="1" applyFont="1" applyFill="1" applyBorder="1" applyAlignment="1" applyProtection="1">
      <alignment horizontal="center" vertical="center"/>
      <protection locked="0"/>
    </xf>
    <xf numFmtId="164" fontId="0" fillId="0" borderId="0" xfId="11" applyNumberFormat="1" applyFont="1" applyBorder="1" applyAlignment="1" applyProtection="1">
      <alignment horizontal="center" vertical="center"/>
      <protection locked="0"/>
    </xf>
    <xf numFmtId="164" fontId="0" fillId="0" borderId="0" xfId="11" applyNumberFormat="1" applyFont="1" applyFill="1" applyBorder="1" applyAlignment="1" applyProtection="1">
      <alignment horizontal="center" vertical="center"/>
    </xf>
    <xf numFmtId="169" fontId="0" fillId="0" borderId="0" xfId="11" applyNumberFormat="1" applyFont="1" applyBorder="1" applyAlignment="1" applyProtection="1">
      <alignment horizontal="center" vertical="center"/>
      <protection locked="0"/>
    </xf>
    <xf numFmtId="170" fontId="0" fillId="0" borderId="0" xfId="11" applyNumberFormat="1" applyFont="1" applyFill="1" applyAlignment="1" applyProtection="1">
      <alignment horizontal="center" vertical="center"/>
      <protection locked="0"/>
    </xf>
    <xf numFmtId="169" fontId="0" fillId="0" borderId="0" xfId="11" applyNumberFormat="1" applyFont="1" applyAlignment="1" applyProtection="1">
      <alignment horizontal="center" vertical="center"/>
      <protection locked="0"/>
    </xf>
    <xf numFmtId="170" fontId="0" fillId="0" borderId="0" xfId="11" applyNumberFormat="1" applyFont="1" applyFill="1" applyBorder="1" applyAlignment="1" applyProtection="1">
      <alignment horizontal="center" vertical="center"/>
      <protection locked="0"/>
    </xf>
    <xf numFmtId="170" fontId="0" fillId="0" borderId="0" xfId="11" applyNumberFormat="1" applyFont="1" applyFill="1" applyAlignment="1" applyProtection="1">
      <alignment horizontal="center" vertical="center"/>
    </xf>
    <xf numFmtId="169" fontId="0" fillId="0" borderId="0" xfId="11" applyNumberFormat="1" applyFont="1" applyAlignment="1" applyProtection="1">
      <alignment horizontal="center" vertical="center"/>
    </xf>
    <xf numFmtId="170" fontId="0" fillId="0" borderId="3" xfId="11" applyNumberFormat="1" applyFont="1" applyBorder="1" applyAlignment="1" applyProtection="1">
      <alignment horizontal="center" vertical="center"/>
    </xf>
    <xf numFmtId="10" fontId="0" fillId="0" borderId="0" xfId="11" applyNumberFormat="1" applyFont="1" applyFill="1" applyAlignment="1" applyProtection="1">
      <alignment horizontal="center" vertical="center"/>
      <protection locked="0"/>
    </xf>
    <xf numFmtId="10" fontId="2" fillId="2" borderId="0" xfId="10" applyNumberFormat="1" applyFill="1" applyAlignment="1">
      <alignment horizontal="center" vertical="center"/>
    </xf>
    <xf numFmtId="10" fontId="2" fillId="0" borderId="0" xfId="10" applyNumberFormat="1" applyAlignment="1" applyProtection="1">
      <alignment horizontal="center" vertical="center"/>
      <protection locked="0"/>
    </xf>
    <xf numFmtId="10" fontId="0" fillId="0" borderId="0" xfId="12" applyNumberFormat="1" applyFont="1" applyFill="1" applyBorder="1" applyAlignment="1" applyProtection="1">
      <alignment horizontal="center" vertical="center"/>
    </xf>
    <xf numFmtId="168" fontId="2" fillId="0" borderId="0" xfId="10" applyNumberFormat="1" applyAlignment="1">
      <alignment horizontal="center" vertical="center"/>
    </xf>
    <xf numFmtId="1" fontId="0" fillId="0" borderId="3" xfId="11" applyNumberFormat="1" applyFont="1" applyBorder="1" applyAlignment="1" applyProtection="1">
      <alignment horizontal="center" vertical="center"/>
    </xf>
    <xf numFmtId="169" fontId="2" fillId="0" borderId="2" xfId="11" applyNumberFormat="1" applyFont="1" applyBorder="1" applyAlignment="1" applyProtection="1">
      <alignment horizontal="center" vertical="center"/>
      <protection locked="0"/>
    </xf>
    <xf numFmtId="169" fontId="0" fillId="0" borderId="0" xfId="11" applyNumberFormat="1" applyFont="1" applyFill="1" applyBorder="1" applyAlignment="1" applyProtection="1">
      <alignment horizontal="center" vertical="center"/>
      <protection locked="0"/>
    </xf>
    <xf numFmtId="169" fontId="0" fillId="0" borderId="3" xfId="11" applyNumberFormat="1" applyFont="1" applyFill="1" applyBorder="1" applyAlignment="1" applyProtection="1">
      <alignment horizontal="center" vertical="center"/>
      <protection locked="0"/>
    </xf>
    <xf numFmtId="165" fontId="1" fillId="0" borderId="0" xfId="11" applyNumberFormat="1" applyFont="1" applyFill="1" applyBorder="1" applyAlignment="1" applyProtection="1">
      <alignment horizontal="center" vertical="center"/>
    </xf>
    <xf numFmtId="165" fontId="1" fillId="0" borderId="0" xfId="10" applyNumberFormat="1" applyFont="1" applyAlignment="1" applyProtection="1">
      <alignment horizontal="center" vertical="center"/>
      <protection locked="0"/>
    </xf>
    <xf numFmtId="165" fontId="1" fillId="0" borderId="0" xfId="11" applyNumberFormat="1" applyFont="1" applyBorder="1" applyAlignment="1" applyProtection="1">
      <alignment horizontal="center" vertical="center"/>
    </xf>
    <xf numFmtId="165" fontId="15" fillId="0" borderId="3" xfId="11" applyNumberFormat="1" applyFont="1" applyBorder="1" applyAlignment="1" applyProtection="1">
      <alignment horizontal="center" vertical="center"/>
    </xf>
    <xf numFmtId="165" fontId="2" fillId="0" borderId="0" xfId="10" applyNumberFormat="1" applyAlignment="1" applyProtection="1">
      <alignment horizontal="center" vertical="center"/>
      <protection locked="0"/>
    </xf>
    <xf numFmtId="165" fontId="0" fillId="0" borderId="3" xfId="11" applyNumberFormat="1" applyFont="1" applyBorder="1" applyAlignment="1" applyProtection="1">
      <alignment horizontal="center" vertical="center"/>
      <protection locked="0"/>
    </xf>
    <xf numFmtId="165" fontId="2" fillId="0" borderId="0" xfId="10" applyNumberFormat="1" applyAlignment="1">
      <alignment horizontal="center" vertical="center"/>
    </xf>
    <xf numFmtId="165" fontId="0" fillId="0" borderId="3" xfId="11" applyNumberFormat="1" applyFont="1" applyBorder="1" applyAlignment="1" applyProtection="1">
      <alignment horizontal="center" vertical="center"/>
    </xf>
    <xf numFmtId="0" fontId="12" fillId="0" borderId="7" xfId="10" applyFont="1" applyBorder="1" applyAlignment="1" applyProtection="1">
      <alignment horizontal="center" vertical="center"/>
      <protection locked="0"/>
    </xf>
    <xf numFmtId="165" fontId="2" fillId="0" borderId="8" xfId="10" applyNumberFormat="1" applyBorder="1" applyAlignment="1">
      <alignment horizontal="center" vertical="center"/>
    </xf>
    <xf numFmtId="165" fontId="2" fillId="0" borderId="8" xfId="10" applyNumberFormat="1" applyBorder="1" applyAlignment="1" applyProtection="1">
      <alignment horizontal="center" vertical="center"/>
      <protection locked="0"/>
    </xf>
    <xf numFmtId="165" fontId="15" fillId="0" borderId="10" xfId="11" applyNumberFormat="1" applyFont="1" applyBorder="1" applyAlignment="1" applyProtection="1">
      <alignment horizontal="center" vertical="center"/>
    </xf>
    <xf numFmtId="165" fontId="0" fillId="0" borderId="0" xfId="11" applyNumberFormat="1" applyFont="1" applyFill="1" applyBorder="1" applyAlignment="1" applyProtection="1">
      <alignment horizontal="center" vertical="center"/>
    </xf>
    <xf numFmtId="165" fontId="0" fillId="0" borderId="0" xfId="11" applyNumberFormat="1" applyFont="1" applyBorder="1" applyAlignment="1" applyProtection="1">
      <alignment horizontal="center" vertical="center"/>
      <protection locked="0"/>
    </xf>
    <xf numFmtId="169" fontId="0" fillId="0" borderId="0" xfId="11" applyNumberFormat="1" applyFont="1" applyBorder="1" applyAlignment="1" applyProtection="1">
      <alignment horizontal="center" vertical="center"/>
    </xf>
    <xf numFmtId="169" fontId="0" fillId="0" borderId="0" xfId="11" applyNumberFormat="1" applyFont="1" applyFill="1" applyBorder="1" applyAlignment="1" applyProtection="1">
      <alignment horizontal="center" vertical="center"/>
    </xf>
    <xf numFmtId="10" fontId="1" fillId="2" borderId="0" xfId="10" applyNumberFormat="1" applyFont="1" applyFill="1" applyAlignment="1">
      <alignment horizontal="center" vertical="center"/>
    </xf>
    <xf numFmtId="0" fontId="1" fillId="0" borderId="0" xfId="10" applyFont="1" applyAlignment="1" applyProtection="1">
      <alignment horizontal="center" vertical="center"/>
      <protection locked="0"/>
    </xf>
    <xf numFmtId="10" fontId="1" fillId="0" borderId="0" xfId="12" applyNumberFormat="1" applyFont="1" applyFill="1" applyBorder="1" applyAlignment="1" applyProtection="1">
      <alignment horizontal="center" vertical="center"/>
    </xf>
    <xf numFmtId="165" fontId="1" fillId="0" borderId="3" xfId="11" applyNumberFormat="1" applyFont="1" applyBorder="1" applyAlignment="1" applyProtection="1">
      <alignment horizontal="center" vertical="center"/>
    </xf>
    <xf numFmtId="165" fontId="1" fillId="0" borderId="0" xfId="10" applyNumberFormat="1" applyFont="1" applyAlignment="1">
      <alignment horizontal="center" vertical="center"/>
    </xf>
    <xf numFmtId="165" fontId="0" fillId="0" borderId="10" xfId="11" applyNumberFormat="1" applyFont="1" applyBorder="1" applyAlignment="1" applyProtection="1">
      <alignment horizontal="center" vertical="center"/>
    </xf>
    <xf numFmtId="1" fontId="2" fillId="0" borderId="0" xfId="10" applyNumberFormat="1" applyAlignment="1">
      <alignment horizontal="center" vertical="center"/>
    </xf>
    <xf numFmtId="169" fontId="12" fillId="0" borderId="2" xfId="11" applyNumberFormat="1" applyFont="1" applyBorder="1" applyAlignment="1" applyProtection="1">
      <alignment horizontal="center" vertical="center"/>
      <protection locked="0"/>
    </xf>
    <xf numFmtId="165" fontId="2" fillId="0" borderId="9" xfId="1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</cellXfs>
  <cellStyles count="15">
    <cellStyle name="Currency 2" xfId="7" xr:uid="{50B6F8F5-1F20-4B97-A991-751989F09E6A}"/>
    <cellStyle name="Currency 3" xfId="11" xr:uid="{29D4E538-7584-4642-BC7D-AC863D86C608}"/>
    <cellStyle name="Currency 3 2" xfId="14" xr:uid="{A42521B3-6C8B-480E-8E17-F277113B333C}"/>
    <cellStyle name="Hyperlink 2" xfId="8" xr:uid="{DF17F013-5747-49E4-8169-B037F49A9509}"/>
    <cellStyle name="Normal" xfId="0" builtinId="0"/>
    <cellStyle name="Normal 2" xfId="1" xr:uid="{A81A2CF5-869B-4E54-B48B-560E8378FA61}"/>
    <cellStyle name="Normal 3" xfId="2" xr:uid="{39699056-CDBA-4AA9-B499-461B12B8FB04}"/>
    <cellStyle name="Normal 4" xfId="3" xr:uid="{1003F31F-5BB2-41B4-971F-2E0D2D26AC98}"/>
    <cellStyle name="Normal 5" xfId="4" xr:uid="{8087FA56-48F6-40A0-AF80-A10FA1FF4E48}"/>
    <cellStyle name="Normal 6" xfId="6" xr:uid="{DEE758E0-636A-4825-81AA-5F2E0E5473A7}"/>
    <cellStyle name="Normal 7" xfId="5" xr:uid="{1D5B625A-7F77-47B4-A5A6-2E79B2E49C7A}"/>
    <cellStyle name="Normal 8" xfId="10" xr:uid="{D4FCEAEC-5E66-439B-82A9-3167445C479B}"/>
    <cellStyle name="Normal 8 2" xfId="13" xr:uid="{E07CF8C8-3C8F-4653-9587-A558517221C6}"/>
    <cellStyle name="Percent 2" xfId="9" xr:uid="{60B3AAB5-E159-434E-ABF5-6D1D88C83826}"/>
    <cellStyle name="Percent 3" xfId="12" xr:uid="{8D696A08-880B-4CED-8605-3B89B7A25DEC}"/>
  </cellStyles>
  <dxfs count="0"/>
  <tableStyles count="0" defaultTableStyle="TableStyleMedium2" defaultPivotStyle="PivotStyleLight16"/>
  <colors>
    <mruColors>
      <color rgb="FFF0A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tdavidproperty.sharepoint.com/sites/Public/Shared%20Documents/5.%20Sales%20&amp;%20Acquisitions/6.%20Research%20and%20analysis/Wendy%20Research/Barrow%20Analysis/Barrow%20Clifford%20September%202023/Financial%20Analysis%20Old%20Lyric%20Hall%20Updated%20-%20WS.xlsx" TargetMode="External"/><Relationship Id="rId2" Type="http://schemas.microsoft.com/office/2019/04/relationships/externalLinkLongPath" Target="Financial%20Analysis%20Old%20Lyric%20Hall%20Updated%20-%20WS.xlsx?68FE299E" TargetMode="External"/><Relationship Id="rId1" Type="http://schemas.openxmlformats.org/officeDocument/2006/relationships/externalLinkPath" Target="file:///\\68FE299E\Financial%20Analysis%20Old%20Lyric%20Hall%20Updated%20-%20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heet1"/>
      <sheetName val="Costs"/>
      <sheetName val="Capital Expenditure"/>
      <sheetName val="Effect of Financing (2)"/>
      <sheetName val="P and L (2)"/>
    </sheetNames>
    <sheetDataSet>
      <sheetData sheetId="0"/>
      <sheetData sheetId="1">
        <row r="22">
          <cell r="C22">
            <v>19.079999999999998</v>
          </cell>
        </row>
        <row r="23">
          <cell r="D23">
            <v>2.21</v>
          </cell>
        </row>
        <row r="24">
          <cell r="C24">
            <v>7.4999999999999997E-2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E611-6871-4824-84DA-D97D2A74BC72}">
  <dimension ref="A1:H29"/>
  <sheetViews>
    <sheetView workbookViewId="0">
      <selection activeCell="C33" sqref="C33"/>
    </sheetView>
  </sheetViews>
  <sheetFormatPr defaultColWidth="8.5" defaultRowHeight="15" x14ac:dyDescent="0.25"/>
  <cols>
    <col min="1" max="1" width="58.5" style="30" customWidth="1"/>
    <col min="2" max="2" width="10.5" style="30" customWidth="1"/>
    <col min="3" max="3" width="9.5" style="30" bestFit="1" customWidth="1"/>
    <col min="4" max="4" width="9.5" style="30" customWidth="1"/>
    <col min="5" max="16384" width="8.5" style="30"/>
  </cols>
  <sheetData>
    <row r="1" spans="1:5" ht="45" x14ac:dyDescent="0.25">
      <c r="A1" s="26" t="s">
        <v>2</v>
      </c>
      <c r="B1" s="27" t="s">
        <v>3</v>
      </c>
      <c r="C1" s="28" t="s">
        <v>14</v>
      </c>
      <c r="D1" s="28" t="s">
        <v>16</v>
      </c>
      <c r="E1" s="29"/>
    </row>
    <row r="2" spans="1:5" x14ac:dyDescent="0.25">
      <c r="A2" s="31"/>
      <c r="E2" s="32"/>
    </row>
    <row r="3" spans="1:5" ht="15.75" x14ac:dyDescent="0.25">
      <c r="A3" s="31" t="s">
        <v>52</v>
      </c>
      <c r="B3" s="33">
        <v>781.24</v>
      </c>
      <c r="E3" s="32" t="s">
        <v>4</v>
      </c>
    </row>
    <row r="4" spans="1:5" ht="15.75" x14ac:dyDescent="0.25">
      <c r="A4" s="31" t="s">
        <v>53</v>
      </c>
      <c r="B4" s="33">
        <f>5*10*12</f>
        <v>600</v>
      </c>
      <c r="E4" s="32" t="s">
        <v>4</v>
      </c>
    </row>
    <row r="5" spans="1:5" ht="15.75" x14ac:dyDescent="0.25">
      <c r="A5" s="31" t="s">
        <v>54</v>
      </c>
      <c r="B5" s="33">
        <f>299+(12.15*10*12)</f>
        <v>1757</v>
      </c>
      <c r="E5" s="32" t="s">
        <v>4</v>
      </c>
    </row>
    <row r="6" spans="1:5" ht="15.75" x14ac:dyDescent="0.25">
      <c r="A6" s="31" t="s">
        <v>55</v>
      </c>
      <c r="B6" s="33">
        <f>114*12</f>
        <v>1368</v>
      </c>
      <c r="E6" s="32" t="s">
        <v>4</v>
      </c>
    </row>
    <row r="7" spans="1:5" ht="15.75" x14ac:dyDescent="0.25">
      <c r="A7" s="31" t="s">
        <v>1</v>
      </c>
      <c r="B7" s="33">
        <v>4250</v>
      </c>
      <c r="E7" s="32" t="s">
        <v>6</v>
      </c>
    </row>
    <row r="8" spans="1:5" ht="15.75" x14ac:dyDescent="0.25">
      <c r="A8" s="31" t="s">
        <v>7</v>
      </c>
      <c r="B8" s="33">
        <v>900</v>
      </c>
      <c r="E8" s="32" t="s">
        <v>6</v>
      </c>
    </row>
    <row r="9" spans="1:5" ht="15.75" x14ac:dyDescent="0.25">
      <c r="A9" s="31" t="s">
        <v>8</v>
      </c>
      <c r="B9" s="33">
        <f>(360*3)/1.2</f>
        <v>900</v>
      </c>
      <c r="E9" s="32" t="s">
        <v>4</v>
      </c>
    </row>
    <row r="10" spans="1:5" ht="15.75" x14ac:dyDescent="0.25">
      <c r="A10" s="31" t="s">
        <v>9</v>
      </c>
      <c r="B10" s="33">
        <v>159</v>
      </c>
      <c r="E10" s="32" t="s">
        <v>6</v>
      </c>
    </row>
    <row r="11" spans="1:5" ht="15.75" x14ac:dyDescent="0.25">
      <c r="A11" s="31" t="s">
        <v>10</v>
      </c>
      <c r="B11" s="33">
        <f>2000/1.2</f>
        <v>1666.6666666666667</v>
      </c>
      <c r="E11" s="32" t="s">
        <v>6</v>
      </c>
    </row>
    <row r="12" spans="1:5" ht="15.75" x14ac:dyDescent="0.25">
      <c r="A12" s="31" t="s">
        <v>11</v>
      </c>
      <c r="B12" s="33">
        <f>1200/1.2</f>
        <v>1000</v>
      </c>
      <c r="E12" s="32" t="s">
        <v>4</v>
      </c>
    </row>
    <row r="13" spans="1:5" ht="15.75" x14ac:dyDescent="0.25">
      <c r="A13" s="31" t="s">
        <v>12</v>
      </c>
      <c r="B13" s="33">
        <f>600/1.2</f>
        <v>500</v>
      </c>
      <c r="E13" s="32" t="s">
        <v>4</v>
      </c>
    </row>
    <row r="14" spans="1:5" ht="15.75" x14ac:dyDescent="0.25">
      <c r="A14" s="31" t="s">
        <v>56</v>
      </c>
      <c r="B14" s="33">
        <f>8000/1.2</f>
        <v>6666.666666666667</v>
      </c>
      <c r="E14" s="32" t="s">
        <v>4</v>
      </c>
    </row>
    <row r="15" spans="1:5" ht="15.75" x14ac:dyDescent="0.25">
      <c r="A15" s="31"/>
      <c r="B15" s="34">
        <f>SUM(B3:B14)</f>
        <v>20548.573333333334</v>
      </c>
      <c r="E15" s="32" t="s">
        <v>4</v>
      </c>
    </row>
    <row r="16" spans="1:5" x14ac:dyDescent="0.25">
      <c r="A16" s="35"/>
      <c r="B16" s="36"/>
      <c r="C16" s="36"/>
      <c r="D16" s="36"/>
      <c r="E16" s="37"/>
    </row>
    <row r="17" spans="1:8" ht="45" x14ac:dyDescent="0.25">
      <c r="A17" s="26" t="s">
        <v>13</v>
      </c>
      <c r="B17" s="27" t="s">
        <v>3</v>
      </c>
      <c r="C17" s="28" t="s">
        <v>14</v>
      </c>
      <c r="D17" s="28" t="s">
        <v>16</v>
      </c>
      <c r="E17" s="29"/>
    </row>
    <row r="18" spans="1:8" x14ac:dyDescent="0.25">
      <c r="A18" s="31"/>
      <c r="E18" s="32"/>
    </row>
    <row r="19" spans="1:8" ht="15.75" x14ac:dyDescent="0.25">
      <c r="A19" s="31" t="s">
        <v>0</v>
      </c>
      <c r="C19" s="38">
        <v>12</v>
      </c>
      <c r="D19" s="38"/>
      <c r="E19" s="32" t="s">
        <v>4</v>
      </c>
    </row>
    <row r="20" spans="1:8" x14ac:dyDescent="0.25">
      <c r="A20" s="31" t="s">
        <v>5</v>
      </c>
      <c r="C20" s="39">
        <v>4.5</v>
      </c>
      <c r="D20" s="39"/>
      <c r="E20" s="32" t="s">
        <v>4</v>
      </c>
    </row>
    <row r="21" spans="1:8" ht="15.75" x14ac:dyDescent="0.25">
      <c r="A21" s="31" t="s">
        <v>57</v>
      </c>
      <c r="C21" s="38">
        <v>2.58</v>
      </c>
      <c r="D21" s="38"/>
      <c r="E21" s="32" t="s">
        <v>4</v>
      </c>
    </row>
    <row r="22" spans="1:8" ht="15.75" x14ac:dyDescent="0.25">
      <c r="A22" s="31"/>
      <c r="C22" s="40">
        <f>SUM(C19:C21)</f>
        <v>19.079999999999998</v>
      </c>
      <c r="D22" s="38"/>
      <c r="E22" s="32" t="s">
        <v>4</v>
      </c>
      <c r="G22" s="39"/>
      <c r="H22" s="39"/>
    </row>
    <row r="23" spans="1:8" ht="15.75" x14ac:dyDescent="0.25">
      <c r="A23" s="31" t="s">
        <v>17</v>
      </c>
      <c r="B23" s="33"/>
      <c r="D23" s="40">
        <v>2.21</v>
      </c>
      <c r="E23" s="32" t="s">
        <v>4</v>
      </c>
    </row>
    <row r="24" spans="1:8" x14ac:dyDescent="0.25">
      <c r="A24" s="31" t="s">
        <v>15</v>
      </c>
      <c r="C24" s="41">
        <v>7.4999999999999997E-2</v>
      </c>
      <c r="D24" s="42"/>
      <c r="E24" s="32" t="s">
        <v>4</v>
      </c>
    </row>
    <row r="25" spans="1:8" x14ac:dyDescent="0.25">
      <c r="A25" s="35"/>
      <c r="B25" s="36"/>
      <c r="C25" s="36"/>
      <c r="D25" s="36"/>
      <c r="E25" s="37"/>
    </row>
    <row r="26" spans="1:8" x14ac:dyDescent="0.25">
      <c r="A26" s="43"/>
      <c r="B26" s="43"/>
      <c r="C26" s="43"/>
      <c r="D26" s="43"/>
    </row>
    <row r="29" spans="1:8" x14ac:dyDescent="0.25">
      <c r="C29" s="39"/>
      <c r="D29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34E9-3F25-45F9-89B1-F4E8438DF67F}">
  <sheetPr>
    <pageSetUpPr fitToPage="1"/>
  </sheetPr>
  <dimension ref="B1:S67"/>
  <sheetViews>
    <sheetView zoomScaleNormal="100" zoomScaleSheetLayoutView="100" workbookViewId="0">
      <selection activeCell="X14" sqref="X14"/>
    </sheetView>
  </sheetViews>
  <sheetFormatPr defaultColWidth="8.375" defaultRowHeight="15.75" x14ac:dyDescent="0.25"/>
  <cols>
    <col min="1" max="1" width="5.875" style="4" customWidth="1"/>
    <col min="2" max="2" width="29.375" style="4" bestFit="1" customWidth="1"/>
    <col min="3" max="3" width="8.5" style="4" bestFit="1" customWidth="1"/>
    <col min="4" max="4" width="1.875" style="4" customWidth="1"/>
    <col min="5" max="16" width="8.375" style="4" bestFit="1" customWidth="1"/>
    <col min="17" max="17" width="1.875" style="4" customWidth="1"/>
    <col min="18" max="18" width="11.5" style="5" bestFit="1" customWidth="1"/>
    <col min="19" max="19" width="5.875" style="4" customWidth="1"/>
    <col min="20" max="16384" width="8.375" style="4"/>
  </cols>
  <sheetData>
    <row r="1" spans="2:19" ht="16.5" thickBot="1" x14ac:dyDescent="0.3"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9" ht="30" x14ac:dyDescent="0.25">
      <c r="B2" s="6" t="s">
        <v>40</v>
      </c>
      <c r="C2" s="7" t="s">
        <v>19</v>
      </c>
      <c r="D2" s="7"/>
      <c r="E2" s="7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26</v>
      </c>
      <c r="L2" s="7" t="s">
        <v>27</v>
      </c>
      <c r="M2" s="7" t="s">
        <v>28</v>
      </c>
      <c r="N2" s="7" t="s">
        <v>29</v>
      </c>
      <c r="O2" s="7" t="s">
        <v>30</v>
      </c>
      <c r="P2" s="7" t="s">
        <v>31</v>
      </c>
      <c r="Q2" s="55"/>
      <c r="R2" s="8" t="s">
        <v>32</v>
      </c>
      <c r="S2" s="9"/>
    </row>
    <row r="3" spans="2:19" x14ac:dyDescent="0.25">
      <c r="B3" s="56" t="s">
        <v>33</v>
      </c>
      <c r="C3" s="57">
        <v>10</v>
      </c>
      <c r="D3" s="58"/>
      <c r="E3" s="58">
        <v>10</v>
      </c>
      <c r="F3" s="58">
        <v>10</v>
      </c>
      <c r="G3" s="58">
        <v>10</v>
      </c>
      <c r="H3" s="58">
        <v>10</v>
      </c>
      <c r="I3" s="58">
        <v>10</v>
      </c>
      <c r="J3" s="58">
        <v>10</v>
      </c>
      <c r="K3" s="58">
        <v>10</v>
      </c>
      <c r="L3" s="58">
        <v>10</v>
      </c>
      <c r="M3" s="58">
        <v>10</v>
      </c>
      <c r="N3" s="58">
        <v>10</v>
      </c>
      <c r="O3" s="58">
        <v>10</v>
      </c>
      <c r="P3" s="58">
        <v>10</v>
      </c>
      <c r="Q3" s="58"/>
      <c r="R3" s="59"/>
    </row>
    <row r="4" spans="2:19" x14ac:dyDescent="0.25">
      <c r="B4" s="56" t="s">
        <v>34</v>
      </c>
      <c r="C4" s="60">
        <v>105</v>
      </c>
      <c r="D4" s="61"/>
      <c r="E4" s="62">
        <f>$C4</f>
        <v>105</v>
      </c>
      <c r="F4" s="62">
        <f t="shared" ref="F4:P4" si="0">$C4</f>
        <v>105</v>
      </c>
      <c r="G4" s="62">
        <f t="shared" si="0"/>
        <v>105</v>
      </c>
      <c r="H4" s="62">
        <f t="shared" si="0"/>
        <v>105</v>
      </c>
      <c r="I4" s="62">
        <f t="shared" si="0"/>
        <v>105</v>
      </c>
      <c r="J4" s="62">
        <f t="shared" si="0"/>
        <v>105</v>
      </c>
      <c r="K4" s="62">
        <f t="shared" si="0"/>
        <v>105</v>
      </c>
      <c r="L4" s="62">
        <f t="shared" si="0"/>
        <v>105</v>
      </c>
      <c r="M4" s="62">
        <f t="shared" si="0"/>
        <v>105</v>
      </c>
      <c r="N4" s="62">
        <f t="shared" si="0"/>
        <v>105</v>
      </c>
      <c r="O4" s="62">
        <f t="shared" si="0"/>
        <v>105</v>
      </c>
      <c r="P4" s="62">
        <f t="shared" si="0"/>
        <v>105</v>
      </c>
      <c r="Q4" s="63"/>
      <c r="R4" s="59"/>
      <c r="S4" s="5"/>
    </row>
    <row r="5" spans="2:19" hidden="1" x14ac:dyDescent="0.25">
      <c r="B5" s="56" t="s">
        <v>42</v>
      </c>
      <c r="C5" s="64">
        <f>SUM(E5:P5)</f>
        <v>52</v>
      </c>
      <c r="D5" s="64"/>
      <c r="E5" s="64">
        <v>5</v>
      </c>
      <c r="F5" s="64">
        <v>4</v>
      </c>
      <c r="G5" s="64">
        <v>4</v>
      </c>
      <c r="H5" s="64">
        <v>4</v>
      </c>
      <c r="I5" s="64">
        <v>4</v>
      </c>
      <c r="J5" s="64">
        <v>4</v>
      </c>
      <c r="K5" s="64">
        <v>5</v>
      </c>
      <c r="L5" s="64">
        <v>5</v>
      </c>
      <c r="M5" s="64">
        <v>4</v>
      </c>
      <c r="N5" s="64">
        <v>5</v>
      </c>
      <c r="O5" s="64">
        <v>4</v>
      </c>
      <c r="P5" s="64">
        <v>4</v>
      </c>
      <c r="Q5" s="65"/>
      <c r="R5" s="59"/>
      <c r="S5" s="5"/>
    </row>
    <row r="6" spans="2:19" hidden="1" x14ac:dyDescent="0.25">
      <c r="B6" s="56" t="s">
        <v>43</v>
      </c>
      <c r="C6" s="66">
        <v>5</v>
      </c>
      <c r="D6" s="66"/>
      <c r="E6" s="64">
        <v>6</v>
      </c>
      <c r="F6" s="64">
        <v>9</v>
      </c>
      <c r="G6" s="64">
        <v>9</v>
      </c>
      <c r="H6" s="64">
        <v>8</v>
      </c>
      <c r="I6" s="64">
        <v>7</v>
      </c>
      <c r="J6" s="64">
        <v>7</v>
      </c>
      <c r="K6" s="64">
        <v>4</v>
      </c>
      <c r="L6" s="64">
        <v>7</v>
      </c>
      <c r="M6" s="64">
        <v>9</v>
      </c>
      <c r="N6" s="64">
        <v>9</v>
      </c>
      <c r="O6" s="64">
        <v>9</v>
      </c>
      <c r="P6" s="64">
        <v>5</v>
      </c>
      <c r="Q6" s="63"/>
      <c r="R6" s="59"/>
      <c r="S6" s="5"/>
    </row>
    <row r="7" spans="2:19" hidden="1" x14ac:dyDescent="0.25">
      <c r="B7" s="56" t="s">
        <v>44</v>
      </c>
      <c r="C7" s="66">
        <v>4</v>
      </c>
      <c r="D7" s="66"/>
      <c r="E7" s="64">
        <v>4</v>
      </c>
      <c r="F7" s="64">
        <v>1</v>
      </c>
      <c r="G7" s="64">
        <v>1</v>
      </c>
      <c r="H7" s="64">
        <v>2</v>
      </c>
      <c r="I7" s="64">
        <v>3</v>
      </c>
      <c r="J7" s="64">
        <v>3</v>
      </c>
      <c r="K7" s="64">
        <v>6</v>
      </c>
      <c r="L7" s="64">
        <v>3</v>
      </c>
      <c r="M7" s="64">
        <v>1</v>
      </c>
      <c r="N7" s="64">
        <v>1</v>
      </c>
      <c r="O7" s="64">
        <v>1</v>
      </c>
      <c r="P7" s="64">
        <v>5</v>
      </c>
      <c r="Q7" s="63"/>
      <c r="R7" s="59"/>
      <c r="S7" s="5"/>
    </row>
    <row r="8" spans="2:19" hidden="1" x14ac:dyDescent="0.25">
      <c r="B8" s="56" t="s">
        <v>45</v>
      </c>
      <c r="C8" s="66">
        <v>3</v>
      </c>
      <c r="D8" s="66"/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1</v>
      </c>
      <c r="Q8" s="63"/>
      <c r="R8" s="59"/>
      <c r="S8" s="5"/>
    </row>
    <row r="9" spans="2:19" hidden="1" x14ac:dyDescent="0.25">
      <c r="B9" s="56" t="s">
        <v>46</v>
      </c>
      <c r="C9" s="64"/>
      <c r="D9" s="64"/>
      <c r="E9" s="64">
        <v>4</v>
      </c>
      <c r="F9" s="64">
        <v>4</v>
      </c>
      <c r="G9" s="64">
        <v>3</v>
      </c>
      <c r="H9" s="64">
        <v>8</v>
      </c>
      <c r="I9" s="64">
        <v>10</v>
      </c>
      <c r="J9" s="64">
        <v>8</v>
      </c>
      <c r="K9" s="64">
        <v>10</v>
      </c>
      <c r="L9" s="64">
        <v>12</v>
      </c>
      <c r="M9" s="64">
        <v>6</v>
      </c>
      <c r="N9" s="64">
        <v>6</v>
      </c>
      <c r="O9" s="64">
        <v>4</v>
      </c>
      <c r="P9" s="64">
        <v>6</v>
      </c>
      <c r="Q9" s="65"/>
      <c r="R9" s="59"/>
      <c r="S9" s="5"/>
    </row>
    <row r="10" spans="2:19" x14ac:dyDescent="0.25">
      <c r="B10" s="56" t="s">
        <v>47</v>
      </c>
      <c r="C10" s="64"/>
      <c r="D10" s="64"/>
      <c r="E10" s="67">
        <f>((E6*$C$6*E5)+(E7*$C$7*E5)+(E8*$C$8*E5)+E9)*$C$12/0.7</f>
        <v>234</v>
      </c>
      <c r="F10" s="67">
        <f>((F6*$C$6*F5)+(F7*$C$7*F5)+(F8*$C$8*F5)+F9)*$C$12/0.7</f>
        <v>200</v>
      </c>
      <c r="G10" s="67">
        <f t="shared" ref="G10:P10" si="1">((G6*$C$6*G5)+(G7*$C$7*G5)+(G8*$C$8*G5)+G9)*$C$12/0.7</f>
        <v>199</v>
      </c>
      <c r="H10" s="67">
        <f t="shared" si="1"/>
        <v>200</v>
      </c>
      <c r="I10" s="67">
        <f t="shared" si="1"/>
        <v>198</v>
      </c>
      <c r="J10" s="67">
        <f t="shared" si="1"/>
        <v>196</v>
      </c>
      <c r="K10" s="67">
        <f t="shared" si="1"/>
        <v>230.00000000000003</v>
      </c>
      <c r="L10" s="67">
        <f t="shared" si="1"/>
        <v>246.99999999999997</v>
      </c>
      <c r="M10" s="67">
        <f t="shared" si="1"/>
        <v>201.99999999999997</v>
      </c>
      <c r="N10" s="67">
        <f t="shared" si="1"/>
        <v>251</v>
      </c>
      <c r="O10" s="67">
        <f t="shared" si="1"/>
        <v>200</v>
      </c>
      <c r="P10" s="67">
        <f t="shared" si="1"/>
        <v>198</v>
      </c>
      <c r="Q10" s="68"/>
      <c r="R10" s="69">
        <f>SUM(E10:P10)</f>
        <v>2555</v>
      </c>
      <c r="S10" s="5"/>
    </row>
    <row r="11" spans="2:19" x14ac:dyDescent="0.25">
      <c r="B11" s="56" t="s">
        <v>77</v>
      </c>
      <c r="C11" s="70">
        <f>R10/365/C3</f>
        <v>0.7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  <c r="R11" s="59"/>
      <c r="S11" s="5"/>
    </row>
    <row r="12" spans="2:19" x14ac:dyDescent="0.25">
      <c r="B12" s="56" t="s">
        <v>78</v>
      </c>
      <c r="C12" s="71">
        <v>0.7</v>
      </c>
      <c r="D12" s="72"/>
      <c r="E12" s="73">
        <f>E13/310</f>
        <v>0.75483870967741939</v>
      </c>
      <c r="F12" s="73">
        <f>F13/280</f>
        <v>0.7142857142857143</v>
      </c>
      <c r="G12" s="73">
        <f>G13/310</f>
        <v>0.64193548387096777</v>
      </c>
      <c r="H12" s="73">
        <f>H13/300</f>
        <v>0.66666666666666663</v>
      </c>
      <c r="I12" s="73">
        <f>I13/310</f>
        <v>0.6387096774193548</v>
      </c>
      <c r="J12" s="73">
        <f>J13/300</f>
        <v>0.65333333333333332</v>
      </c>
      <c r="K12" s="73">
        <f>K13/310</f>
        <v>0.74193548387096786</v>
      </c>
      <c r="L12" s="73">
        <f>L13/310</f>
        <v>0.79677419354838697</v>
      </c>
      <c r="M12" s="73">
        <f>M13/300</f>
        <v>0.67333333333333323</v>
      </c>
      <c r="N12" s="73">
        <f>N13/310</f>
        <v>0.80967741935483872</v>
      </c>
      <c r="O12" s="73">
        <f>O13/300</f>
        <v>0.66666666666666663</v>
      </c>
      <c r="P12" s="73">
        <f>P13/310</f>
        <v>0.6387096774193548</v>
      </c>
      <c r="Q12" s="58"/>
      <c r="R12" s="59"/>
    </row>
    <row r="13" spans="2:19" x14ac:dyDescent="0.25">
      <c r="B13" s="56" t="s">
        <v>35</v>
      </c>
      <c r="C13" s="74">
        <f>C12*C3*365/12</f>
        <v>212.91666666666666</v>
      </c>
      <c r="D13" s="58"/>
      <c r="E13" s="74">
        <f t="shared" ref="E13:P13" si="2">E10</f>
        <v>234</v>
      </c>
      <c r="F13" s="74">
        <f t="shared" si="2"/>
        <v>200</v>
      </c>
      <c r="G13" s="74">
        <f t="shared" si="2"/>
        <v>199</v>
      </c>
      <c r="H13" s="74">
        <f t="shared" si="2"/>
        <v>200</v>
      </c>
      <c r="I13" s="74">
        <f t="shared" si="2"/>
        <v>198</v>
      </c>
      <c r="J13" s="74">
        <f t="shared" si="2"/>
        <v>196</v>
      </c>
      <c r="K13" s="74">
        <f t="shared" si="2"/>
        <v>230.00000000000003</v>
      </c>
      <c r="L13" s="74">
        <f t="shared" si="2"/>
        <v>246.99999999999997</v>
      </c>
      <c r="M13" s="74">
        <f t="shared" si="2"/>
        <v>201.99999999999997</v>
      </c>
      <c r="N13" s="74">
        <f t="shared" si="2"/>
        <v>251</v>
      </c>
      <c r="O13" s="74">
        <f t="shared" si="2"/>
        <v>200</v>
      </c>
      <c r="P13" s="74">
        <f t="shared" si="2"/>
        <v>198</v>
      </c>
      <c r="Q13" s="58"/>
      <c r="R13" s="75">
        <f>SUM(E13:P13)</f>
        <v>2555</v>
      </c>
    </row>
    <row r="14" spans="2:19" x14ac:dyDescent="0.25">
      <c r="B14" s="56" t="s">
        <v>36</v>
      </c>
      <c r="C14" s="74">
        <f>R14/12</f>
        <v>106.45833333333333</v>
      </c>
      <c r="D14" s="58"/>
      <c r="E14" s="74">
        <f t="shared" ref="E14:P14" si="3">E13/2</f>
        <v>117</v>
      </c>
      <c r="F14" s="74">
        <f t="shared" si="3"/>
        <v>100</v>
      </c>
      <c r="G14" s="74">
        <f t="shared" si="3"/>
        <v>99.5</v>
      </c>
      <c r="H14" s="74">
        <f t="shared" si="3"/>
        <v>100</v>
      </c>
      <c r="I14" s="74">
        <f t="shared" si="3"/>
        <v>99</v>
      </c>
      <c r="J14" s="74">
        <f t="shared" si="3"/>
        <v>98</v>
      </c>
      <c r="K14" s="74">
        <f t="shared" si="3"/>
        <v>115.00000000000001</v>
      </c>
      <c r="L14" s="74">
        <f t="shared" si="3"/>
        <v>123.49999999999999</v>
      </c>
      <c r="M14" s="74">
        <f t="shared" si="3"/>
        <v>100.99999999999999</v>
      </c>
      <c r="N14" s="74">
        <f t="shared" si="3"/>
        <v>125.5</v>
      </c>
      <c r="O14" s="74">
        <f t="shared" si="3"/>
        <v>100</v>
      </c>
      <c r="P14" s="74">
        <f t="shared" si="3"/>
        <v>99</v>
      </c>
      <c r="Q14" s="58"/>
      <c r="R14" s="75">
        <f>SUM(E14:P14)</f>
        <v>1277.5</v>
      </c>
    </row>
    <row r="15" spans="2:19" x14ac:dyDescent="0.25"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</row>
    <row r="16" spans="2:19" ht="15" x14ac:dyDescent="0.25">
      <c r="B16" s="56" t="s">
        <v>37</v>
      </c>
      <c r="C16" s="79">
        <f>(C4/1.2)*C13</f>
        <v>18630.208333333332</v>
      </c>
      <c r="D16" s="80"/>
      <c r="E16" s="81">
        <f t="shared" ref="E16:P16" si="4">(E4/1.2)*E13</f>
        <v>20475</v>
      </c>
      <c r="F16" s="81">
        <f t="shared" si="4"/>
        <v>17500</v>
      </c>
      <c r="G16" s="81">
        <f t="shared" si="4"/>
        <v>17412.5</v>
      </c>
      <c r="H16" s="81">
        <f t="shared" si="4"/>
        <v>17500</v>
      </c>
      <c r="I16" s="81">
        <f t="shared" si="4"/>
        <v>17325</v>
      </c>
      <c r="J16" s="81">
        <f t="shared" si="4"/>
        <v>17150</v>
      </c>
      <c r="K16" s="81">
        <f t="shared" si="4"/>
        <v>20125.000000000004</v>
      </c>
      <c r="L16" s="81">
        <f t="shared" si="4"/>
        <v>21612.499999999996</v>
      </c>
      <c r="M16" s="81">
        <f t="shared" si="4"/>
        <v>17674.999999999996</v>
      </c>
      <c r="N16" s="81">
        <f t="shared" si="4"/>
        <v>21962.5</v>
      </c>
      <c r="O16" s="81">
        <f t="shared" si="4"/>
        <v>17500</v>
      </c>
      <c r="P16" s="81">
        <f t="shared" si="4"/>
        <v>17325</v>
      </c>
      <c r="Q16" s="80"/>
      <c r="R16" s="82">
        <f>SUM(E16:P16)</f>
        <v>223562.5</v>
      </c>
      <c r="S16" s="10"/>
    </row>
    <row r="17" spans="2:19" x14ac:dyDescent="0.25">
      <c r="B17" s="56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4"/>
    </row>
    <row r="18" spans="2:19" x14ac:dyDescent="0.25">
      <c r="B18" s="56" t="s">
        <v>38</v>
      </c>
      <c r="C18" s="85">
        <f>R18/12</f>
        <v>3899.0364583333335</v>
      </c>
      <c r="D18" s="83"/>
      <c r="E18" s="85">
        <f>(E16*Costs!$C$24)+(Costs!$C$22*'P and L '!E14)+(Costs!$D$23*'P and L '!E10)</f>
        <v>4285.125</v>
      </c>
      <c r="F18" s="85">
        <f>(F16*Costs!$C$24)+(Costs!$C$22*'P and L '!F14)+(Costs!$D$23*'P and L '!F10)</f>
        <v>3662.5</v>
      </c>
      <c r="G18" s="85">
        <f>(G16*Costs!$C$24)+(Costs!$C$22*'P and L '!G14)+(Costs!$D$23*'P and L '!G10)</f>
        <v>3644.1875</v>
      </c>
      <c r="H18" s="85">
        <f>(H16*Costs!$C$24)+(Costs!$C$22*'P and L '!H14)+(Costs!$D$23*'P and L '!H10)</f>
        <v>3662.5</v>
      </c>
      <c r="I18" s="85">
        <f>(I16*Costs!$C$24)+(Costs!$C$22*'P and L '!I14)+(Costs!$D$23*'P and L '!I10)</f>
        <v>3625.875</v>
      </c>
      <c r="J18" s="85">
        <f>(J16*Costs!$C$24)+(Costs!$C$22*'P and L '!J14)+(Costs!$D$23*'P and L '!J10)</f>
        <v>3589.25</v>
      </c>
      <c r="K18" s="85">
        <f>(K16*Costs!$C$24)+(Costs!$C$22*'P and L '!K14)+(Costs!$D$23*'P and L '!K10)</f>
        <v>4211.8750000000009</v>
      </c>
      <c r="L18" s="85">
        <f>(L16*Costs!$C$24)+(Costs!$C$22*'P and L '!L14)+(Costs!$D$23*'P and L '!L10)</f>
        <v>4523.1874999999991</v>
      </c>
      <c r="M18" s="85">
        <f>(M16*Costs!$C$24)+(Costs!$C$22*'P and L '!M14)+(Costs!$D$23*'P and L '!M10)</f>
        <v>3699.1249999999991</v>
      </c>
      <c r="N18" s="85">
        <f>(N16*Costs!$C$24)+(Costs!$C$22*'P and L '!N14)+(Costs!$D$23*'P and L '!N10)</f>
        <v>4596.4375</v>
      </c>
      <c r="O18" s="85">
        <f>(O16*Costs!$C$24)+(Costs!$C$22*'P and L '!O14)+(Costs!$D$23*'P and L '!O10)</f>
        <v>3662.5</v>
      </c>
      <c r="P18" s="85">
        <f>(P16*Costs!$C$24)+(Costs!$C$22*'P and L '!P14)+(Costs!$D$23*'P and L '!P10)</f>
        <v>3625.875</v>
      </c>
      <c r="Q18" s="83"/>
      <c r="R18" s="86">
        <f>SUM(E18:P18)</f>
        <v>46788.4375</v>
      </c>
      <c r="S18" s="10"/>
    </row>
    <row r="19" spans="2:19" x14ac:dyDescent="0.25">
      <c r="B19" s="56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4"/>
    </row>
    <row r="20" spans="2:19" ht="15" x14ac:dyDescent="0.25">
      <c r="B20" s="56" t="s">
        <v>39</v>
      </c>
      <c r="C20" s="79">
        <f>C65</f>
        <v>1712.3811111111111</v>
      </c>
      <c r="D20" s="80"/>
      <c r="E20" s="81">
        <f>$C20</f>
        <v>1712.3811111111111</v>
      </c>
      <c r="F20" s="81">
        <f t="shared" ref="F20:P20" si="5">$C20</f>
        <v>1712.3811111111111</v>
      </c>
      <c r="G20" s="81">
        <f t="shared" si="5"/>
        <v>1712.3811111111111</v>
      </c>
      <c r="H20" s="81">
        <f t="shared" si="5"/>
        <v>1712.3811111111111</v>
      </c>
      <c r="I20" s="81">
        <f t="shared" si="5"/>
        <v>1712.3811111111111</v>
      </c>
      <c r="J20" s="81">
        <f t="shared" si="5"/>
        <v>1712.3811111111111</v>
      </c>
      <c r="K20" s="81">
        <f t="shared" si="5"/>
        <v>1712.3811111111111</v>
      </c>
      <c r="L20" s="81">
        <f t="shared" si="5"/>
        <v>1712.3811111111111</v>
      </c>
      <c r="M20" s="81">
        <f t="shared" si="5"/>
        <v>1712.3811111111111</v>
      </c>
      <c r="N20" s="81">
        <f t="shared" si="5"/>
        <v>1712.3811111111111</v>
      </c>
      <c r="O20" s="81">
        <f t="shared" si="5"/>
        <v>1712.3811111111111</v>
      </c>
      <c r="P20" s="81">
        <f t="shared" si="5"/>
        <v>1712.3811111111111</v>
      </c>
      <c r="Q20" s="83"/>
      <c r="R20" s="82">
        <f>SUM(E20:P20)</f>
        <v>20548.573333333334</v>
      </c>
    </row>
    <row r="21" spans="2:19" ht="16.5" thickBot="1" x14ac:dyDescent="0.3">
      <c r="B21" s="56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4"/>
    </row>
    <row r="22" spans="2:19" thickBot="1" x14ac:dyDescent="0.3">
      <c r="B22" s="87" t="s">
        <v>48</v>
      </c>
      <c r="C22" s="88">
        <f>C16-C18-C20</f>
        <v>13018.790763888886</v>
      </c>
      <c r="D22" s="89"/>
      <c r="E22" s="88">
        <f t="shared" ref="E22:P22" si="6">E16-E18-E20</f>
        <v>14477.493888888888</v>
      </c>
      <c r="F22" s="88">
        <f>F16-F18-F20</f>
        <v>12125.118888888888</v>
      </c>
      <c r="G22" s="88">
        <f t="shared" si="6"/>
        <v>12055.931388888888</v>
      </c>
      <c r="H22" s="88">
        <f t="shared" si="6"/>
        <v>12125.118888888888</v>
      </c>
      <c r="I22" s="88">
        <f t="shared" si="6"/>
        <v>11986.743888888888</v>
      </c>
      <c r="J22" s="88">
        <f t="shared" si="6"/>
        <v>11848.368888888888</v>
      </c>
      <c r="K22" s="88">
        <f t="shared" si="6"/>
        <v>14200.743888888892</v>
      </c>
      <c r="L22" s="88">
        <f t="shared" si="6"/>
        <v>15376.931388888885</v>
      </c>
      <c r="M22" s="88">
        <f t="shared" si="6"/>
        <v>12263.493888888885</v>
      </c>
      <c r="N22" s="88">
        <f t="shared" si="6"/>
        <v>15653.681388888888</v>
      </c>
      <c r="O22" s="88">
        <f t="shared" si="6"/>
        <v>12125.118888888888</v>
      </c>
      <c r="P22" s="88">
        <f t="shared" si="6"/>
        <v>11986.743888888888</v>
      </c>
      <c r="Q22" s="89"/>
      <c r="R22" s="90">
        <f>SUM(E22:P22)</f>
        <v>156225.48916666667</v>
      </c>
      <c r="S22" s="11"/>
    </row>
    <row r="23" spans="2:19" x14ac:dyDescent="0.25">
      <c r="C23" s="12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3"/>
      <c r="R23" s="15"/>
    </row>
    <row r="24" spans="2:19" ht="16.5" thickBot="1" x14ac:dyDescent="0.3">
      <c r="C24" s="12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3"/>
      <c r="R24" s="15"/>
    </row>
    <row r="25" spans="2:19" ht="30" x14ac:dyDescent="0.25">
      <c r="B25" s="6" t="s">
        <v>41</v>
      </c>
      <c r="C25" s="7" t="s">
        <v>19</v>
      </c>
      <c r="D25" s="7"/>
      <c r="E25" s="7" t="s">
        <v>20</v>
      </c>
      <c r="F25" s="7" t="s">
        <v>21</v>
      </c>
      <c r="G25" s="7" t="s">
        <v>22</v>
      </c>
      <c r="H25" s="7" t="s">
        <v>23</v>
      </c>
      <c r="I25" s="7" t="s">
        <v>24</v>
      </c>
      <c r="J25" s="7" t="s">
        <v>25</v>
      </c>
      <c r="K25" s="7" t="s">
        <v>26</v>
      </c>
      <c r="L25" s="7" t="s">
        <v>27</v>
      </c>
      <c r="M25" s="7" t="s">
        <v>28</v>
      </c>
      <c r="N25" s="7" t="s">
        <v>29</v>
      </c>
      <c r="O25" s="7" t="s">
        <v>30</v>
      </c>
      <c r="P25" s="7" t="s">
        <v>31</v>
      </c>
      <c r="Q25" s="55"/>
      <c r="R25" s="8" t="s">
        <v>32</v>
      </c>
      <c r="S25" s="9"/>
    </row>
    <row r="26" spans="2:19" x14ac:dyDescent="0.25">
      <c r="B26" s="56" t="s">
        <v>33</v>
      </c>
      <c r="C26" s="85">
        <f>C3</f>
        <v>10</v>
      </c>
      <c r="D26" s="83"/>
      <c r="E26" s="83">
        <v>10</v>
      </c>
      <c r="F26" s="83">
        <v>10</v>
      </c>
      <c r="G26" s="83">
        <v>10</v>
      </c>
      <c r="H26" s="83">
        <v>10</v>
      </c>
      <c r="I26" s="83">
        <v>10</v>
      </c>
      <c r="J26" s="83">
        <v>10</v>
      </c>
      <c r="K26" s="83">
        <v>10</v>
      </c>
      <c r="L26" s="83">
        <v>10</v>
      </c>
      <c r="M26" s="83">
        <v>10</v>
      </c>
      <c r="N26" s="83">
        <v>10</v>
      </c>
      <c r="O26" s="83">
        <v>10</v>
      </c>
      <c r="P26" s="83">
        <v>10</v>
      </c>
      <c r="Q26" s="58"/>
      <c r="R26" s="59"/>
    </row>
    <row r="27" spans="2:19" x14ac:dyDescent="0.25">
      <c r="B27" s="56" t="s">
        <v>34</v>
      </c>
      <c r="C27" s="91">
        <f>C49</f>
        <v>105</v>
      </c>
      <c r="D27" s="92"/>
      <c r="E27" s="91">
        <f>$C27</f>
        <v>105</v>
      </c>
      <c r="F27" s="91">
        <f t="shared" ref="F27:P27" si="7">$C27</f>
        <v>105</v>
      </c>
      <c r="G27" s="91">
        <f t="shared" si="7"/>
        <v>105</v>
      </c>
      <c r="H27" s="91">
        <f t="shared" si="7"/>
        <v>105</v>
      </c>
      <c r="I27" s="91">
        <f t="shared" si="7"/>
        <v>105</v>
      </c>
      <c r="J27" s="91">
        <f t="shared" si="7"/>
        <v>105</v>
      </c>
      <c r="K27" s="91">
        <f t="shared" si="7"/>
        <v>105</v>
      </c>
      <c r="L27" s="91">
        <f t="shared" si="7"/>
        <v>105</v>
      </c>
      <c r="M27" s="91">
        <f t="shared" si="7"/>
        <v>105</v>
      </c>
      <c r="N27" s="91">
        <f t="shared" si="7"/>
        <v>105</v>
      </c>
      <c r="O27" s="91">
        <f t="shared" si="7"/>
        <v>105</v>
      </c>
      <c r="P27" s="91">
        <f t="shared" si="7"/>
        <v>105</v>
      </c>
      <c r="Q27" s="63"/>
      <c r="R27" s="59"/>
      <c r="S27" s="5"/>
    </row>
    <row r="28" spans="2:19" hidden="1" x14ac:dyDescent="0.25">
      <c r="B28" s="56" t="s">
        <v>49</v>
      </c>
      <c r="C28" s="64">
        <f>SUM(E28:P28)</f>
        <v>52</v>
      </c>
      <c r="D28" s="64"/>
      <c r="E28" s="64">
        <v>5</v>
      </c>
      <c r="F28" s="64">
        <v>4</v>
      </c>
      <c r="G28" s="64">
        <v>4</v>
      </c>
      <c r="H28" s="64">
        <v>4</v>
      </c>
      <c r="I28" s="64">
        <v>4</v>
      </c>
      <c r="J28" s="64">
        <v>4</v>
      </c>
      <c r="K28" s="64">
        <v>5</v>
      </c>
      <c r="L28" s="64">
        <v>5</v>
      </c>
      <c r="M28" s="64">
        <v>4</v>
      </c>
      <c r="N28" s="64">
        <v>5</v>
      </c>
      <c r="O28" s="64">
        <v>4</v>
      </c>
      <c r="P28" s="64">
        <v>4</v>
      </c>
      <c r="Q28" s="63"/>
      <c r="R28" s="59"/>
      <c r="S28" s="5"/>
    </row>
    <row r="29" spans="2:19" hidden="1" x14ac:dyDescent="0.25">
      <c r="B29" s="56" t="s">
        <v>43</v>
      </c>
      <c r="C29" s="66">
        <v>5</v>
      </c>
      <c r="D29" s="66"/>
      <c r="E29" s="64">
        <v>9</v>
      </c>
      <c r="F29" s="64">
        <v>10</v>
      </c>
      <c r="G29" s="64">
        <v>10</v>
      </c>
      <c r="H29" s="64">
        <v>9</v>
      </c>
      <c r="I29" s="64">
        <v>9</v>
      </c>
      <c r="J29" s="64">
        <v>9</v>
      </c>
      <c r="K29" s="64">
        <v>9</v>
      </c>
      <c r="L29" s="64">
        <v>9</v>
      </c>
      <c r="M29" s="64">
        <v>9</v>
      </c>
      <c r="N29" s="64">
        <v>10</v>
      </c>
      <c r="O29" s="64">
        <v>10</v>
      </c>
      <c r="P29" s="64">
        <v>9</v>
      </c>
      <c r="Q29" s="63"/>
      <c r="R29" s="59"/>
      <c r="S29" s="5"/>
    </row>
    <row r="30" spans="2:19" hidden="1" x14ac:dyDescent="0.25">
      <c r="B30" s="56" t="s">
        <v>44</v>
      </c>
      <c r="C30" s="66">
        <v>4</v>
      </c>
      <c r="D30" s="66"/>
      <c r="E30" s="64">
        <v>1</v>
      </c>
      <c r="F30" s="64">
        <v>0</v>
      </c>
      <c r="G30" s="64">
        <v>0</v>
      </c>
      <c r="H30" s="64">
        <v>1</v>
      </c>
      <c r="I30" s="64">
        <v>1</v>
      </c>
      <c r="J30" s="64">
        <v>1</v>
      </c>
      <c r="K30" s="64">
        <v>1</v>
      </c>
      <c r="L30" s="64">
        <v>1</v>
      </c>
      <c r="M30" s="64">
        <v>1</v>
      </c>
      <c r="N30" s="64">
        <v>0</v>
      </c>
      <c r="O30" s="64">
        <v>0</v>
      </c>
      <c r="P30" s="64">
        <v>1</v>
      </c>
      <c r="Q30" s="63"/>
      <c r="R30" s="59"/>
      <c r="S30" s="5"/>
    </row>
    <row r="31" spans="2:19" hidden="1" x14ac:dyDescent="0.25">
      <c r="B31" s="56" t="s">
        <v>45</v>
      </c>
      <c r="C31" s="66">
        <v>3</v>
      </c>
      <c r="D31" s="66"/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3"/>
      <c r="R31" s="59"/>
      <c r="S31" s="5"/>
    </row>
    <row r="32" spans="2:19" hidden="1" x14ac:dyDescent="0.25">
      <c r="B32" s="56" t="s">
        <v>46</v>
      </c>
      <c r="C32" s="64"/>
      <c r="D32" s="64"/>
      <c r="E32" s="64">
        <v>11</v>
      </c>
      <c r="F32" s="64">
        <v>12</v>
      </c>
      <c r="G32" s="64">
        <v>12</v>
      </c>
      <c r="H32" s="64">
        <v>16</v>
      </c>
      <c r="I32" s="64">
        <v>16</v>
      </c>
      <c r="J32" s="64">
        <v>16</v>
      </c>
      <c r="K32" s="64">
        <v>18</v>
      </c>
      <c r="L32" s="64">
        <v>20</v>
      </c>
      <c r="M32" s="64">
        <v>16</v>
      </c>
      <c r="N32" s="64">
        <v>12</v>
      </c>
      <c r="O32" s="64">
        <v>12</v>
      </c>
      <c r="P32" s="64">
        <v>12</v>
      </c>
      <c r="Q32" s="63"/>
      <c r="R32" s="59"/>
      <c r="S32" s="5"/>
    </row>
    <row r="33" spans="2:19" x14ac:dyDescent="0.25">
      <c r="B33" s="56" t="s">
        <v>50</v>
      </c>
      <c r="C33" s="64"/>
      <c r="D33" s="64"/>
      <c r="E33" s="67">
        <f>((E29*$C$6*E28)+(E30*$C$7*E28)+(E31*$C$8*E28)+E32)*$C$35/0.7501</f>
        <v>255.96587121717104</v>
      </c>
      <c r="F33" s="67">
        <f t="shared" ref="F33:P33" si="8">((F29*$C$6*F28)+(F30*$C$7*F28)+(F31*$C$8*F28)+F32)*$C$35/0.7501</f>
        <v>211.97173710171978</v>
      </c>
      <c r="G33" s="67">
        <f t="shared" si="8"/>
        <v>211.97173710171978</v>
      </c>
      <c r="H33" s="67">
        <f t="shared" si="8"/>
        <v>211.97173710171978</v>
      </c>
      <c r="I33" s="67">
        <f t="shared" si="8"/>
        <v>211.97173710171978</v>
      </c>
      <c r="J33" s="67">
        <f t="shared" si="8"/>
        <v>211.97173710171978</v>
      </c>
      <c r="K33" s="67">
        <f t="shared" si="8"/>
        <v>262.96493800826556</v>
      </c>
      <c r="L33" s="67">
        <f t="shared" si="8"/>
        <v>264.96467137714973</v>
      </c>
      <c r="M33" s="67">
        <f t="shared" si="8"/>
        <v>211.97173710171978</v>
      </c>
      <c r="N33" s="67">
        <f t="shared" si="8"/>
        <v>261.96507132382351</v>
      </c>
      <c r="O33" s="67">
        <f t="shared" si="8"/>
        <v>211.97173710171978</v>
      </c>
      <c r="P33" s="67">
        <f t="shared" si="8"/>
        <v>207.97227036395148</v>
      </c>
      <c r="Q33" s="93"/>
      <c r="R33" s="69">
        <f>SUM(E33:P33)</f>
        <v>2737.6349820023993</v>
      </c>
      <c r="S33" s="5"/>
    </row>
    <row r="34" spans="2:19" x14ac:dyDescent="0.25">
      <c r="B34" s="56" t="s">
        <v>77</v>
      </c>
      <c r="C34" s="70">
        <f>R33/365/C26</f>
        <v>0.75003698137052033</v>
      </c>
      <c r="D34" s="6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63"/>
      <c r="R34" s="59"/>
      <c r="S34" s="5"/>
    </row>
    <row r="35" spans="2:19" x14ac:dyDescent="0.25">
      <c r="B35" s="56" t="s">
        <v>78</v>
      </c>
      <c r="C35" s="95">
        <v>0.75</v>
      </c>
      <c r="D35" s="96"/>
      <c r="E35" s="97">
        <f>E36/310</f>
        <v>0.82569635876506786</v>
      </c>
      <c r="F35" s="97">
        <f>F36/280</f>
        <v>0.75704191822042777</v>
      </c>
      <c r="G35" s="97">
        <f>G36/310</f>
        <v>0.68377979710232184</v>
      </c>
      <c r="H35" s="97">
        <f>H36/300</f>
        <v>0.70657245700573257</v>
      </c>
      <c r="I35" s="97">
        <f>I36/310</f>
        <v>0.68377979710232184</v>
      </c>
      <c r="J35" s="97">
        <f>J36/300</f>
        <v>0.70657245700573257</v>
      </c>
      <c r="K35" s="97">
        <f>K36/310</f>
        <v>0.84827399357505018</v>
      </c>
      <c r="L35" s="97">
        <f>L36/310</f>
        <v>0.8547247463779023</v>
      </c>
      <c r="M35" s="97">
        <f>M36/300</f>
        <v>0.70657245700573257</v>
      </c>
      <c r="N35" s="97">
        <f>N36/310</f>
        <v>0.84504861717362423</v>
      </c>
      <c r="O35" s="97">
        <f>O36/300</f>
        <v>0.70657245700573257</v>
      </c>
      <c r="P35" s="97">
        <f>P36/310</f>
        <v>0.67087829149661771</v>
      </c>
      <c r="Q35" s="58"/>
      <c r="R35" s="59"/>
    </row>
    <row r="36" spans="2:19" x14ac:dyDescent="0.25">
      <c r="B36" s="56" t="s">
        <v>35</v>
      </c>
      <c r="C36" s="74">
        <f>C35*C26*365/12</f>
        <v>228.125</v>
      </c>
      <c r="D36" s="58"/>
      <c r="E36" s="74">
        <f t="shared" ref="E36:P36" si="9">E33</f>
        <v>255.96587121717104</v>
      </c>
      <c r="F36" s="74">
        <f t="shared" si="9"/>
        <v>211.97173710171978</v>
      </c>
      <c r="G36" s="74">
        <f t="shared" si="9"/>
        <v>211.97173710171978</v>
      </c>
      <c r="H36" s="74">
        <f t="shared" si="9"/>
        <v>211.97173710171978</v>
      </c>
      <c r="I36" s="74">
        <f t="shared" si="9"/>
        <v>211.97173710171978</v>
      </c>
      <c r="J36" s="74">
        <f t="shared" si="9"/>
        <v>211.97173710171978</v>
      </c>
      <c r="K36" s="74">
        <f t="shared" si="9"/>
        <v>262.96493800826556</v>
      </c>
      <c r="L36" s="74">
        <f t="shared" si="9"/>
        <v>264.96467137714973</v>
      </c>
      <c r="M36" s="74">
        <f t="shared" si="9"/>
        <v>211.97173710171978</v>
      </c>
      <c r="N36" s="74">
        <f t="shared" si="9"/>
        <v>261.96507132382351</v>
      </c>
      <c r="O36" s="74">
        <f t="shared" si="9"/>
        <v>211.97173710171978</v>
      </c>
      <c r="P36" s="74">
        <f t="shared" si="9"/>
        <v>207.97227036395148</v>
      </c>
      <c r="Q36" s="58"/>
      <c r="R36" s="75">
        <f>SUM(E36:P36)</f>
        <v>2737.6349820023993</v>
      </c>
    </row>
    <row r="37" spans="2:19" x14ac:dyDescent="0.25">
      <c r="B37" s="56" t="s">
        <v>36</v>
      </c>
      <c r="C37" s="74">
        <f>C36/2</f>
        <v>114.0625</v>
      </c>
      <c r="D37" s="58"/>
      <c r="E37" s="74">
        <f>E36/2</f>
        <v>127.98293560858552</v>
      </c>
      <c r="F37" s="74">
        <f t="shared" ref="F37:P37" si="10">F36/2</f>
        <v>105.98586855085989</v>
      </c>
      <c r="G37" s="74">
        <f t="shared" si="10"/>
        <v>105.98586855085989</v>
      </c>
      <c r="H37" s="74">
        <f t="shared" si="10"/>
        <v>105.98586855085989</v>
      </c>
      <c r="I37" s="74">
        <f t="shared" si="10"/>
        <v>105.98586855085989</v>
      </c>
      <c r="J37" s="74">
        <f t="shared" si="10"/>
        <v>105.98586855085989</v>
      </c>
      <c r="K37" s="74">
        <f t="shared" si="10"/>
        <v>131.48246900413278</v>
      </c>
      <c r="L37" s="74">
        <f t="shared" si="10"/>
        <v>132.48233568857486</v>
      </c>
      <c r="M37" s="74">
        <f t="shared" si="10"/>
        <v>105.98586855085989</v>
      </c>
      <c r="N37" s="74">
        <f t="shared" si="10"/>
        <v>130.98253566191175</v>
      </c>
      <c r="O37" s="74">
        <f t="shared" si="10"/>
        <v>105.98586855085989</v>
      </c>
      <c r="P37" s="74">
        <f t="shared" si="10"/>
        <v>103.98613518197574</v>
      </c>
      <c r="Q37" s="58"/>
      <c r="R37" s="75">
        <f>SUM(E37:P37)</f>
        <v>1368.8174910011996</v>
      </c>
    </row>
    <row r="38" spans="2:19" x14ac:dyDescent="0.25">
      <c r="B38" s="56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9"/>
    </row>
    <row r="39" spans="2:19" ht="15" x14ac:dyDescent="0.25">
      <c r="B39" s="56" t="s">
        <v>37</v>
      </c>
      <c r="C39" s="79">
        <f>(C27/1.2)*C36</f>
        <v>19960.9375</v>
      </c>
      <c r="D39" s="80"/>
      <c r="E39" s="81">
        <f>(E27/1.2)*E36</f>
        <v>22397.013731502466</v>
      </c>
      <c r="F39" s="81">
        <f t="shared" ref="F39:P39" si="11">(F27/1.2)*F36</f>
        <v>18547.52699640048</v>
      </c>
      <c r="G39" s="81">
        <f t="shared" si="11"/>
        <v>18547.52699640048</v>
      </c>
      <c r="H39" s="81">
        <f t="shared" si="11"/>
        <v>18547.52699640048</v>
      </c>
      <c r="I39" s="81">
        <f t="shared" si="11"/>
        <v>18547.52699640048</v>
      </c>
      <c r="J39" s="81">
        <f t="shared" si="11"/>
        <v>18547.52699640048</v>
      </c>
      <c r="K39" s="81">
        <f t="shared" si="11"/>
        <v>23009.432075723238</v>
      </c>
      <c r="L39" s="81">
        <f t="shared" si="11"/>
        <v>23184.408745500601</v>
      </c>
      <c r="M39" s="81">
        <f t="shared" si="11"/>
        <v>18547.52699640048</v>
      </c>
      <c r="N39" s="81">
        <f t="shared" si="11"/>
        <v>22921.943740834558</v>
      </c>
      <c r="O39" s="81">
        <f t="shared" si="11"/>
        <v>18547.52699640048</v>
      </c>
      <c r="P39" s="81">
        <f t="shared" si="11"/>
        <v>18197.573656845754</v>
      </c>
      <c r="Q39" s="80"/>
      <c r="R39" s="98">
        <f>SUM(E39:P39)</f>
        <v>239543.06092520998</v>
      </c>
    </row>
    <row r="40" spans="2:19" x14ac:dyDescent="0.25">
      <c r="B40" s="56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</row>
    <row r="41" spans="2:19" ht="15" x14ac:dyDescent="0.25">
      <c r="B41" s="56" t="s">
        <v>38</v>
      </c>
      <c r="C41" s="99">
        <f>(C39*[1]Costs!$C$24)+([1]Costs!$C$22*'P and L '!C37)+([1]Costs!$D$23*'P and L '!C36)</f>
        <v>4177.5390625</v>
      </c>
      <c r="D41" s="80"/>
      <c r="E41" s="99">
        <f>(E39*Costs!$C$24)+('P and L '!E37*Costs!$C$22)+(Costs!$D$23*'P and L '!E33)</f>
        <v>4687.375016664445</v>
      </c>
      <c r="F41" s="99">
        <f>(F39*Costs!$C$24)+('P and L '!F37*Costs!$C$22)+(Costs!$D$23*'P and L '!F33)</f>
        <v>3881.7324356752438</v>
      </c>
      <c r="G41" s="99">
        <f>(G39*Costs!$C$24)+('P and L '!G37*Costs!$C$22)+(Costs!$D$23*'P and L '!G33)</f>
        <v>3881.7324356752438</v>
      </c>
      <c r="H41" s="99">
        <f>(H39*Costs!$C$24)+('P and L '!H37*Costs!$C$22)+(Costs!$D$23*'P and L '!H33)</f>
        <v>3881.7324356752438</v>
      </c>
      <c r="I41" s="99">
        <f>(I39*Costs!$C$24)+('P and L '!I37*Costs!$C$22)+(Costs!$D$23*'P and L '!I33)</f>
        <v>3881.7324356752438</v>
      </c>
      <c r="J41" s="99">
        <f>(J39*Costs!$C$24)+('P and L '!J37*Costs!$C$22)+(Costs!$D$23*'P and L '!J33)</f>
        <v>3881.7324356752438</v>
      </c>
      <c r="K41" s="99">
        <f>(K39*Costs!$C$24)+('P and L '!K37*Costs!$C$22)+(Costs!$D$23*'P and L '!K33)</f>
        <v>4815.5454272763627</v>
      </c>
      <c r="L41" s="99">
        <f>(L39*Costs!$C$24)+('P and L '!L37*Costs!$C$22)+(Costs!$D$23*'P and L '!L33)</f>
        <v>4852.1655445940542</v>
      </c>
      <c r="M41" s="99">
        <f>(M39*Costs!$C$24)+('P and L '!M37*Costs!$C$22)+(Costs!$D$23*'P and L '!M33)</f>
        <v>3881.7324356752438</v>
      </c>
      <c r="N41" s="99">
        <f>(N39*Costs!$C$24)+('P and L '!N37*Costs!$C$22)+(Costs!$D$23*'P and L '!N33)</f>
        <v>4797.2353686175175</v>
      </c>
      <c r="O41" s="99">
        <f>(O39*Costs!$C$24)+('P and L '!O37*Costs!$C$22)+(Costs!$D$23*'P and L '!O33)</f>
        <v>3881.7324356752438</v>
      </c>
      <c r="P41" s="99">
        <f>(P39*Costs!$C$24)+('P and L '!P37*Costs!$C$22)+(Costs!$D$23*'P and L '!P33)</f>
        <v>3808.4922010398609</v>
      </c>
      <c r="Q41" s="80"/>
      <c r="R41" s="98">
        <f>SUM(E41:P41)</f>
        <v>50132.940607918943</v>
      </c>
    </row>
    <row r="42" spans="2:19" x14ac:dyDescent="0.25">
      <c r="B42" s="56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4"/>
    </row>
    <row r="43" spans="2:19" ht="15" x14ac:dyDescent="0.25">
      <c r="B43" s="56" t="s">
        <v>39</v>
      </c>
      <c r="C43" s="79">
        <f>C20</f>
        <v>1712.3811111111111</v>
      </c>
      <c r="D43" s="80"/>
      <c r="E43" s="81">
        <f>$C43</f>
        <v>1712.3811111111111</v>
      </c>
      <c r="F43" s="81">
        <f t="shared" ref="F43:P43" si="12">$C43</f>
        <v>1712.3811111111111</v>
      </c>
      <c r="G43" s="81">
        <f t="shared" si="12"/>
        <v>1712.3811111111111</v>
      </c>
      <c r="H43" s="81">
        <f t="shared" si="12"/>
        <v>1712.3811111111111</v>
      </c>
      <c r="I43" s="81">
        <f t="shared" si="12"/>
        <v>1712.3811111111111</v>
      </c>
      <c r="J43" s="81">
        <f t="shared" si="12"/>
        <v>1712.3811111111111</v>
      </c>
      <c r="K43" s="81">
        <f t="shared" si="12"/>
        <v>1712.3811111111111</v>
      </c>
      <c r="L43" s="81">
        <f t="shared" si="12"/>
        <v>1712.3811111111111</v>
      </c>
      <c r="M43" s="81">
        <f t="shared" si="12"/>
        <v>1712.3811111111111</v>
      </c>
      <c r="N43" s="81">
        <f t="shared" si="12"/>
        <v>1712.3811111111111</v>
      </c>
      <c r="O43" s="81">
        <f t="shared" si="12"/>
        <v>1712.3811111111111</v>
      </c>
      <c r="P43" s="81">
        <f t="shared" si="12"/>
        <v>1712.3811111111111</v>
      </c>
      <c r="Q43" s="80"/>
      <c r="R43" s="98">
        <f>SUM(E43:P43)</f>
        <v>20548.573333333334</v>
      </c>
    </row>
    <row r="44" spans="2:19" ht="16.5" thickBot="1" x14ac:dyDescent="0.3">
      <c r="B44" s="56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</row>
    <row r="45" spans="2:19" ht="16.5" thickBot="1" x14ac:dyDescent="0.3">
      <c r="B45" s="87" t="s">
        <v>48</v>
      </c>
      <c r="C45" s="88">
        <f>C39-C41-C43</f>
        <v>14071.017326388888</v>
      </c>
      <c r="D45" s="89"/>
      <c r="E45" s="88">
        <f t="shared" ref="E45:P45" si="13">E39-E41-E43</f>
        <v>15997.257603726908</v>
      </c>
      <c r="F45" s="88">
        <f t="shared" si="13"/>
        <v>12953.413449614125</v>
      </c>
      <c r="G45" s="88">
        <f t="shared" si="13"/>
        <v>12953.413449614125</v>
      </c>
      <c r="H45" s="88">
        <f t="shared" si="13"/>
        <v>12953.413449614125</v>
      </c>
      <c r="I45" s="88">
        <f t="shared" si="13"/>
        <v>12953.413449614125</v>
      </c>
      <c r="J45" s="88">
        <f t="shared" si="13"/>
        <v>12953.413449614125</v>
      </c>
      <c r="K45" s="88">
        <f t="shared" si="13"/>
        <v>16481.505537335765</v>
      </c>
      <c r="L45" s="88">
        <f t="shared" si="13"/>
        <v>16619.862089795435</v>
      </c>
      <c r="M45" s="88">
        <f t="shared" si="13"/>
        <v>12953.413449614125</v>
      </c>
      <c r="N45" s="88">
        <f t="shared" si="13"/>
        <v>16412.327261105933</v>
      </c>
      <c r="O45" s="88">
        <f t="shared" si="13"/>
        <v>12953.413449614125</v>
      </c>
      <c r="P45" s="88">
        <f t="shared" si="13"/>
        <v>12676.700344694782</v>
      </c>
      <c r="Q45" s="89"/>
      <c r="R45" s="100">
        <f>SUM(E45:P45)</f>
        <v>168861.5469839577</v>
      </c>
    </row>
    <row r="46" spans="2:19" ht="16.5" thickBot="1" x14ac:dyDescent="0.3">
      <c r="B46" s="16"/>
      <c r="C46" s="12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3"/>
      <c r="R46" s="15"/>
    </row>
    <row r="47" spans="2:19" s="9" customFormat="1" ht="30" x14ac:dyDescent="0.25">
      <c r="B47" s="6" t="s">
        <v>18</v>
      </c>
      <c r="C47" s="7" t="s">
        <v>19</v>
      </c>
      <c r="D47" s="7"/>
      <c r="E47" s="7" t="s">
        <v>20</v>
      </c>
      <c r="F47" s="7" t="s">
        <v>21</v>
      </c>
      <c r="G47" s="7" t="s">
        <v>22</v>
      </c>
      <c r="H47" s="7" t="s">
        <v>23</v>
      </c>
      <c r="I47" s="7" t="s">
        <v>24</v>
      </c>
      <c r="J47" s="7" t="s">
        <v>25</v>
      </c>
      <c r="K47" s="7" t="s">
        <v>26</v>
      </c>
      <c r="L47" s="7" t="s">
        <v>27</v>
      </c>
      <c r="M47" s="7" t="s">
        <v>28</v>
      </c>
      <c r="N47" s="7" t="s">
        <v>29</v>
      </c>
      <c r="O47" s="7" t="s">
        <v>30</v>
      </c>
      <c r="P47" s="7" t="s">
        <v>31</v>
      </c>
      <c r="Q47" s="55"/>
      <c r="R47" s="8" t="s">
        <v>32</v>
      </c>
    </row>
    <row r="48" spans="2:19" x14ac:dyDescent="0.25">
      <c r="B48" s="56" t="s">
        <v>33</v>
      </c>
      <c r="C48" s="101">
        <f>C3</f>
        <v>10</v>
      </c>
      <c r="D48" s="58"/>
      <c r="E48" s="58">
        <v>10</v>
      </c>
      <c r="F48" s="58">
        <v>10</v>
      </c>
      <c r="G48" s="58">
        <v>10</v>
      </c>
      <c r="H48" s="58">
        <v>10</v>
      </c>
      <c r="I48" s="58">
        <v>10</v>
      </c>
      <c r="J48" s="58">
        <v>10</v>
      </c>
      <c r="K48" s="58">
        <v>10</v>
      </c>
      <c r="L48" s="58">
        <v>10</v>
      </c>
      <c r="M48" s="58">
        <v>10</v>
      </c>
      <c r="N48" s="58">
        <v>10</v>
      </c>
      <c r="O48" s="58">
        <v>10</v>
      </c>
      <c r="P48" s="58">
        <v>10</v>
      </c>
      <c r="Q48" s="58"/>
      <c r="R48" s="59"/>
    </row>
    <row r="49" spans="2:18" s="5" customFormat="1" x14ac:dyDescent="0.25">
      <c r="B49" s="56" t="s">
        <v>34</v>
      </c>
      <c r="C49" s="62">
        <f>C4</f>
        <v>105</v>
      </c>
      <c r="D49" s="61"/>
      <c r="E49" s="62">
        <f t="shared" ref="E49:P49" si="14">$C$49</f>
        <v>105</v>
      </c>
      <c r="F49" s="62">
        <f t="shared" si="14"/>
        <v>105</v>
      </c>
      <c r="G49" s="62">
        <f t="shared" si="14"/>
        <v>105</v>
      </c>
      <c r="H49" s="62">
        <f t="shared" si="14"/>
        <v>105</v>
      </c>
      <c r="I49" s="62">
        <f t="shared" si="14"/>
        <v>105</v>
      </c>
      <c r="J49" s="62">
        <f t="shared" si="14"/>
        <v>105</v>
      </c>
      <c r="K49" s="62">
        <f t="shared" si="14"/>
        <v>105</v>
      </c>
      <c r="L49" s="62">
        <f t="shared" si="14"/>
        <v>105</v>
      </c>
      <c r="M49" s="62">
        <f t="shared" si="14"/>
        <v>105</v>
      </c>
      <c r="N49" s="62">
        <f t="shared" si="14"/>
        <v>105</v>
      </c>
      <c r="O49" s="62">
        <f t="shared" si="14"/>
        <v>105</v>
      </c>
      <c r="P49" s="62">
        <f t="shared" si="14"/>
        <v>105</v>
      </c>
      <c r="Q49" s="63"/>
      <c r="R49" s="59"/>
    </row>
    <row r="50" spans="2:18" s="5" customFormat="1" hidden="1" x14ac:dyDescent="0.25">
      <c r="B50" s="56" t="s">
        <v>49</v>
      </c>
      <c r="C50" s="64">
        <f>SUM(E50:P50)</f>
        <v>52</v>
      </c>
      <c r="D50" s="64"/>
      <c r="E50" s="64">
        <v>5</v>
      </c>
      <c r="F50" s="64">
        <v>4</v>
      </c>
      <c r="G50" s="64">
        <v>4</v>
      </c>
      <c r="H50" s="64">
        <v>4</v>
      </c>
      <c r="I50" s="64">
        <v>4</v>
      </c>
      <c r="J50" s="64">
        <v>4</v>
      </c>
      <c r="K50" s="64">
        <v>5</v>
      </c>
      <c r="L50" s="64">
        <v>5</v>
      </c>
      <c r="M50" s="64">
        <v>4</v>
      </c>
      <c r="N50" s="64">
        <v>5</v>
      </c>
      <c r="O50" s="64">
        <v>4</v>
      </c>
      <c r="P50" s="64">
        <v>4</v>
      </c>
      <c r="Q50" s="63"/>
      <c r="R50" s="59"/>
    </row>
    <row r="51" spans="2:18" s="5" customFormat="1" hidden="1" x14ac:dyDescent="0.25">
      <c r="B51" s="56" t="s">
        <v>43</v>
      </c>
      <c r="C51" s="94">
        <v>5</v>
      </c>
      <c r="D51" s="63"/>
      <c r="E51" s="64">
        <v>5</v>
      </c>
      <c r="F51" s="64">
        <v>6</v>
      </c>
      <c r="G51" s="64">
        <v>6</v>
      </c>
      <c r="H51" s="64">
        <v>5</v>
      </c>
      <c r="I51" s="64">
        <v>5</v>
      </c>
      <c r="J51" s="64">
        <v>5</v>
      </c>
      <c r="K51" s="64">
        <v>5</v>
      </c>
      <c r="L51" s="64">
        <v>5</v>
      </c>
      <c r="M51" s="64">
        <v>7</v>
      </c>
      <c r="N51" s="64">
        <v>7</v>
      </c>
      <c r="O51" s="64">
        <v>7</v>
      </c>
      <c r="P51" s="64">
        <v>3</v>
      </c>
      <c r="Q51" s="63"/>
      <c r="R51" s="59"/>
    </row>
    <row r="52" spans="2:18" s="5" customFormat="1" hidden="1" x14ac:dyDescent="0.25">
      <c r="B52" s="56" t="s">
        <v>44</v>
      </c>
      <c r="C52" s="94">
        <v>4</v>
      </c>
      <c r="D52" s="63"/>
      <c r="E52" s="64">
        <v>4</v>
      </c>
      <c r="F52" s="64">
        <v>4</v>
      </c>
      <c r="G52" s="64">
        <v>4</v>
      </c>
      <c r="H52" s="64">
        <v>4</v>
      </c>
      <c r="I52" s="64">
        <v>4</v>
      </c>
      <c r="J52" s="64">
        <v>4</v>
      </c>
      <c r="K52" s="64">
        <v>4</v>
      </c>
      <c r="L52" s="64">
        <v>4</v>
      </c>
      <c r="M52" s="64">
        <v>3</v>
      </c>
      <c r="N52" s="64">
        <v>3</v>
      </c>
      <c r="O52" s="64">
        <v>3</v>
      </c>
      <c r="P52" s="64">
        <v>4</v>
      </c>
      <c r="Q52" s="63"/>
      <c r="R52" s="59"/>
    </row>
    <row r="53" spans="2:18" s="5" customFormat="1" ht="13.5" hidden="1" customHeight="1" x14ac:dyDescent="0.25">
      <c r="B53" s="56" t="s">
        <v>45</v>
      </c>
      <c r="C53" s="94">
        <v>3</v>
      </c>
      <c r="D53" s="63"/>
      <c r="E53" s="64">
        <v>1</v>
      </c>
      <c r="F53" s="64">
        <v>0</v>
      </c>
      <c r="G53" s="64">
        <v>0</v>
      </c>
      <c r="H53" s="64">
        <v>1</v>
      </c>
      <c r="I53" s="64">
        <v>1</v>
      </c>
      <c r="J53" s="64">
        <v>1</v>
      </c>
      <c r="K53" s="64">
        <v>1</v>
      </c>
      <c r="L53" s="64">
        <v>1</v>
      </c>
      <c r="M53" s="64">
        <v>0</v>
      </c>
      <c r="N53" s="64">
        <v>0</v>
      </c>
      <c r="O53" s="64">
        <v>0</v>
      </c>
      <c r="P53" s="64">
        <v>3</v>
      </c>
      <c r="Q53" s="63"/>
      <c r="R53" s="59"/>
    </row>
    <row r="54" spans="2:18" s="5" customFormat="1" hidden="1" x14ac:dyDescent="0.25">
      <c r="B54" s="56" t="s">
        <v>46</v>
      </c>
      <c r="C54" s="94"/>
      <c r="D54" s="63"/>
      <c r="E54" s="64">
        <v>1</v>
      </c>
      <c r="F54" s="64">
        <v>1</v>
      </c>
      <c r="G54" s="64">
        <v>1</v>
      </c>
      <c r="H54" s="64">
        <v>6</v>
      </c>
      <c r="I54" s="64">
        <v>6</v>
      </c>
      <c r="J54" s="64">
        <v>6</v>
      </c>
      <c r="K54" s="64">
        <v>8</v>
      </c>
      <c r="L54" s="64">
        <v>8</v>
      </c>
      <c r="M54" s="64">
        <v>4</v>
      </c>
      <c r="N54" s="64">
        <v>2</v>
      </c>
      <c r="O54" s="64">
        <v>2</v>
      </c>
      <c r="P54" s="64">
        <v>1</v>
      </c>
      <c r="Q54" s="63"/>
      <c r="R54" s="59"/>
    </row>
    <row r="55" spans="2:18" s="5" customFormat="1" x14ac:dyDescent="0.25">
      <c r="B55" s="56" t="s">
        <v>51</v>
      </c>
      <c r="C55" s="94"/>
      <c r="D55" s="63"/>
      <c r="E55" s="67">
        <f>((E51*$C$6*E50)+(E52*$C$7*E50)+(E53*$C$8*E50)+E54)*$C$57/0.6501</f>
        <v>220.96600522996462</v>
      </c>
      <c r="F55" s="67">
        <f t="shared" ref="F55:P55" si="15">((F51*$C$6*F50)+(F52*$C$7*F50)+(F53*$C$8*F50)+F54)*$C$57/0.6501</f>
        <v>184.97154283956314</v>
      </c>
      <c r="G55" s="67">
        <f t="shared" si="15"/>
        <v>184.97154283956314</v>
      </c>
      <c r="H55" s="67">
        <f t="shared" si="15"/>
        <v>181.97200430702969</v>
      </c>
      <c r="I55" s="67">
        <f t="shared" si="15"/>
        <v>181.97200430702969</v>
      </c>
      <c r="J55" s="67">
        <f t="shared" si="15"/>
        <v>181.97200430702969</v>
      </c>
      <c r="K55" s="67">
        <f t="shared" si="15"/>
        <v>227.96492847254271</v>
      </c>
      <c r="L55" s="67">
        <f t="shared" si="15"/>
        <v>227.96492847254271</v>
      </c>
      <c r="M55" s="67">
        <f t="shared" si="15"/>
        <v>191.97046608214123</v>
      </c>
      <c r="N55" s="67">
        <f t="shared" si="15"/>
        <v>236.96354407014306</v>
      </c>
      <c r="O55" s="67">
        <f t="shared" si="15"/>
        <v>189.97077372711891</v>
      </c>
      <c r="P55" s="67">
        <f t="shared" si="15"/>
        <v>160.97523457929549</v>
      </c>
      <c r="Q55" s="93"/>
      <c r="R55" s="69">
        <f>SUM(E55:P55)</f>
        <v>2372.6349792339638</v>
      </c>
    </row>
    <row r="56" spans="2:18" s="5" customFormat="1" x14ac:dyDescent="0.25">
      <c r="B56" s="102" t="s">
        <v>79</v>
      </c>
      <c r="C56" s="70">
        <f>R55/365/C48</f>
        <v>0.65003698061204485</v>
      </c>
      <c r="D56" s="6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63"/>
      <c r="R56" s="59"/>
    </row>
    <row r="57" spans="2:18" x14ac:dyDescent="0.25">
      <c r="B57" s="56" t="s">
        <v>78</v>
      </c>
      <c r="C57" s="71">
        <v>0.65</v>
      </c>
      <c r="D57" s="58"/>
      <c r="E57" s="73">
        <f>E58/310</f>
        <v>0.71279356525795035</v>
      </c>
      <c r="F57" s="73">
        <f>F58/280</f>
        <v>0.66061265299843974</v>
      </c>
      <c r="G57" s="73">
        <f>G58/310</f>
        <v>0.59668239625665531</v>
      </c>
      <c r="H57" s="73">
        <f>H58/300</f>
        <v>0.60657334769009896</v>
      </c>
      <c r="I57" s="73">
        <f>I58/310</f>
        <v>0.58700646550654745</v>
      </c>
      <c r="J57" s="73">
        <f>J58/300</f>
        <v>0.60657334769009896</v>
      </c>
      <c r="K57" s="73">
        <f>K58/310</f>
        <v>0.73537073700820232</v>
      </c>
      <c r="L57" s="73">
        <f>L58/310</f>
        <v>0.73537073700820232</v>
      </c>
      <c r="M57" s="73">
        <f>M58/300</f>
        <v>0.63990155360713741</v>
      </c>
      <c r="N57" s="73">
        <f>N58/310</f>
        <v>0.76439852925852603</v>
      </c>
      <c r="O57" s="73">
        <f>O58/300</f>
        <v>0.63323591242372967</v>
      </c>
      <c r="P57" s="73">
        <f>P58/310</f>
        <v>0.51927495025579185</v>
      </c>
      <c r="Q57" s="58"/>
      <c r="R57" s="59"/>
    </row>
    <row r="58" spans="2:18" x14ac:dyDescent="0.25">
      <c r="B58" s="56" t="s">
        <v>35</v>
      </c>
      <c r="C58" s="74">
        <f>C57*C48*365/12</f>
        <v>197.70833333333334</v>
      </c>
      <c r="D58" s="58"/>
      <c r="E58" s="74">
        <f t="shared" ref="E58:P58" si="16">E55</f>
        <v>220.96600522996462</v>
      </c>
      <c r="F58" s="74">
        <f t="shared" si="16"/>
        <v>184.97154283956314</v>
      </c>
      <c r="G58" s="74">
        <f t="shared" si="16"/>
        <v>184.97154283956314</v>
      </c>
      <c r="H58" s="74">
        <f t="shared" si="16"/>
        <v>181.97200430702969</v>
      </c>
      <c r="I58" s="74">
        <f t="shared" si="16"/>
        <v>181.97200430702969</v>
      </c>
      <c r="J58" s="74">
        <f t="shared" si="16"/>
        <v>181.97200430702969</v>
      </c>
      <c r="K58" s="74">
        <f t="shared" si="16"/>
        <v>227.96492847254271</v>
      </c>
      <c r="L58" s="74">
        <f t="shared" si="16"/>
        <v>227.96492847254271</v>
      </c>
      <c r="M58" s="74">
        <f t="shared" si="16"/>
        <v>191.97046608214123</v>
      </c>
      <c r="N58" s="74">
        <f t="shared" si="16"/>
        <v>236.96354407014306</v>
      </c>
      <c r="O58" s="74">
        <f t="shared" si="16"/>
        <v>189.97077372711891</v>
      </c>
      <c r="P58" s="74">
        <f t="shared" si="16"/>
        <v>160.97523457929549</v>
      </c>
      <c r="Q58" s="58"/>
      <c r="R58" s="75">
        <f>SUM(E58:P58)</f>
        <v>2372.6349792339638</v>
      </c>
    </row>
    <row r="59" spans="2:18" x14ac:dyDescent="0.25">
      <c r="B59" s="56" t="s">
        <v>36</v>
      </c>
      <c r="C59" s="74">
        <f>C58/2</f>
        <v>98.854166666666671</v>
      </c>
      <c r="D59" s="58"/>
      <c r="E59" s="74">
        <f>E58/2</f>
        <v>110.48300261498231</v>
      </c>
      <c r="F59" s="74">
        <f t="shared" ref="F59:P59" si="17">F58/2</f>
        <v>92.485771419781571</v>
      </c>
      <c r="G59" s="74">
        <f t="shared" si="17"/>
        <v>92.485771419781571</v>
      </c>
      <c r="H59" s="74">
        <f t="shared" si="17"/>
        <v>90.986002153514846</v>
      </c>
      <c r="I59" s="74">
        <f t="shared" si="17"/>
        <v>90.986002153514846</v>
      </c>
      <c r="J59" s="74">
        <f t="shared" si="17"/>
        <v>90.986002153514846</v>
      </c>
      <c r="K59" s="74">
        <f t="shared" si="17"/>
        <v>113.98246423627135</v>
      </c>
      <c r="L59" s="74">
        <f t="shared" si="17"/>
        <v>113.98246423627135</v>
      </c>
      <c r="M59" s="74">
        <f t="shared" si="17"/>
        <v>95.985233041070614</v>
      </c>
      <c r="N59" s="74">
        <f t="shared" si="17"/>
        <v>118.48177203507153</v>
      </c>
      <c r="O59" s="74">
        <f t="shared" si="17"/>
        <v>94.985386863559455</v>
      </c>
      <c r="P59" s="74">
        <f t="shared" si="17"/>
        <v>80.487617289647744</v>
      </c>
      <c r="Q59" s="58"/>
      <c r="R59" s="75">
        <f>SUM(E59:P59)</f>
        <v>1186.3174896169819</v>
      </c>
    </row>
    <row r="60" spans="2:18" x14ac:dyDescent="0.25">
      <c r="B60" s="56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9"/>
    </row>
    <row r="61" spans="2:18" ht="15" x14ac:dyDescent="0.25">
      <c r="B61" s="56" t="s">
        <v>37</v>
      </c>
      <c r="C61" s="79">
        <f>(C49/1.2)*C58</f>
        <v>17299.479166666668</v>
      </c>
      <c r="D61" s="80"/>
      <c r="E61" s="81">
        <f>(E49/1.2)*E58</f>
        <v>19334.525457621905</v>
      </c>
      <c r="F61" s="81">
        <f t="shared" ref="F61:P61" si="18">(F49/1.2)*F58</f>
        <v>16185.009998461775</v>
      </c>
      <c r="G61" s="81">
        <f t="shared" si="18"/>
        <v>16185.009998461775</v>
      </c>
      <c r="H61" s="81">
        <f t="shared" si="18"/>
        <v>15922.550376865098</v>
      </c>
      <c r="I61" s="81">
        <f>(I49/1.2)*I58</f>
        <v>15922.550376865098</v>
      </c>
      <c r="J61" s="81">
        <f t="shared" si="18"/>
        <v>15922.550376865098</v>
      </c>
      <c r="K61" s="81">
        <f>(K49/1.2)*K58</f>
        <v>19946.931241347487</v>
      </c>
      <c r="L61" s="81">
        <f t="shared" si="18"/>
        <v>19946.931241347487</v>
      </c>
      <c r="M61" s="81">
        <f t="shared" si="18"/>
        <v>16797.415782187356</v>
      </c>
      <c r="N61" s="81">
        <f t="shared" si="18"/>
        <v>20734.310106137516</v>
      </c>
      <c r="O61" s="81">
        <f t="shared" si="18"/>
        <v>16622.442701122905</v>
      </c>
      <c r="P61" s="81">
        <f t="shared" si="18"/>
        <v>14085.333025688355</v>
      </c>
      <c r="Q61" s="80"/>
      <c r="R61" s="98">
        <f>SUM(E61:P61)</f>
        <v>207605.56068297185</v>
      </c>
    </row>
    <row r="62" spans="2:18" x14ac:dyDescent="0.25">
      <c r="B62" s="56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4"/>
    </row>
    <row r="63" spans="2:18" ht="15" x14ac:dyDescent="0.25">
      <c r="B63" s="56" t="s">
        <v>38</v>
      </c>
      <c r="C63" s="85">
        <f>R63/12</f>
        <v>3620.7398381018306</v>
      </c>
      <c r="D63" s="83"/>
      <c r="E63" s="85">
        <f>(Costs!$C$24*'P and L '!E61)+('P and L '!E58*Costs!$D$23)+(Costs!$C$22*'P and L '!E59)</f>
        <v>4046.4399707737266</v>
      </c>
      <c r="F63" s="85">
        <f>(Costs!$C$24*'P and L '!F61)+('P and L '!F58*Costs!$D$23)+(Costs!$C$22*'P and L '!F59)</f>
        <v>3387.2913782494998</v>
      </c>
      <c r="G63" s="85">
        <f>(Costs!$C$24*'P and L '!G61)+('P and L '!G58*Costs!$D$23)+(Costs!$C$22*'P and L '!G59)</f>
        <v>3387.2913782494998</v>
      </c>
      <c r="H63" s="85">
        <f>(Costs!$C$24*'P and L '!H61)+('P and L '!H58*Costs!$D$23)+(Costs!$C$22*'P and L '!H59)</f>
        <v>3332.3623288724812</v>
      </c>
      <c r="I63" s="85">
        <f>(Costs!$C$24*'P and L '!I61)+('P and L '!I58*Costs!$D$23)+(Costs!$C$22*'P and L '!I59)</f>
        <v>3332.3623288724812</v>
      </c>
      <c r="J63" s="85">
        <f>(Costs!$C$24*'P and L '!J61)+('P and L '!J58*Costs!$D$23)+(Costs!$C$22*'P and L '!J59)</f>
        <v>3332.3623288724812</v>
      </c>
      <c r="K63" s="85">
        <f>(Costs!$C$24*'P and L '!K61)+('P and L '!K58*Costs!$D$23)+(Costs!$C$22*'P and L '!K59)</f>
        <v>4174.6077526534382</v>
      </c>
      <c r="L63" s="85">
        <f>(Costs!$C$24*'P and L '!L61)+('P and L '!L58*Costs!$D$23)+(Costs!$C$22*'P and L '!L59)</f>
        <v>4174.6077526534382</v>
      </c>
      <c r="M63" s="85">
        <f>(Costs!$C$24*'P and L '!M61)+('P and L '!M58*Costs!$D$23)+(Costs!$C$22*'P and L '!M59)</f>
        <v>3515.4591601292109</v>
      </c>
      <c r="N63" s="85">
        <f>(Costs!$C$24*'P and L '!N61)+('P and L '!N58*Costs!$D$23)+(Costs!$C$22*'P and L '!N59)</f>
        <v>4339.3949007844949</v>
      </c>
      <c r="O63" s="85">
        <f>(Costs!$C$24*'P and L '!O61)+('P and L '!O58*Costs!$D$23)+(Costs!$C$22*'P and L '!O59)</f>
        <v>3478.8397938778653</v>
      </c>
      <c r="P63" s="85">
        <f>(Costs!$C$24*'P and L '!P61)+('P and L '!P58*Costs!$D$23)+(Costs!$C$22*'P and L '!P59)</f>
        <v>2947.8589832333482</v>
      </c>
      <c r="Q63" s="83"/>
      <c r="R63" s="98">
        <f>SUM(E63:P63)</f>
        <v>43448.878057221969</v>
      </c>
    </row>
    <row r="64" spans="2:18" x14ac:dyDescent="0.25">
      <c r="B64" s="56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4"/>
    </row>
    <row r="65" spans="2:18" ht="15" x14ac:dyDescent="0.25">
      <c r="B65" s="56" t="s">
        <v>39</v>
      </c>
      <c r="C65" s="79">
        <f>Costs!B15/12</f>
        <v>1712.3811111111111</v>
      </c>
      <c r="D65" s="80"/>
      <c r="E65" s="81">
        <f t="shared" ref="E65:P65" si="19">$C65</f>
        <v>1712.3811111111111</v>
      </c>
      <c r="F65" s="81">
        <f t="shared" si="19"/>
        <v>1712.3811111111111</v>
      </c>
      <c r="G65" s="81">
        <f t="shared" si="19"/>
        <v>1712.3811111111111</v>
      </c>
      <c r="H65" s="81">
        <f t="shared" si="19"/>
        <v>1712.3811111111111</v>
      </c>
      <c r="I65" s="81">
        <f t="shared" si="19"/>
        <v>1712.3811111111111</v>
      </c>
      <c r="J65" s="81">
        <f t="shared" si="19"/>
        <v>1712.3811111111111</v>
      </c>
      <c r="K65" s="81">
        <f t="shared" si="19"/>
        <v>1712.3811111111111</v>
      </c>
      <c r="L65" s="81">
        <f t="shared" si="19"/>
        <v>1712.3811111111111</v>
      </c>
      <c r="M65" s="81">
        <f t="shared" si="19"/>
        <v>1712.3811111111111</v>
      </c>
      <c r="N65" s="81">
        <f t="shared" si="19"/>
        <v>1712.3811111111111</v>
      </c>
      <c r="O65" s="81">
        <f t="shared" si="19"/>
        <v>1712.3811111111111</v>
      </c>
      <c r="P65" s="81">
        <f t="shared" si="19"/>
        <v>1712.3811111111111</v>
      </c>
      <c r="Q65" s="80"/>
      <c r="R65" s="98">
        <f>SUM(E65:P65)</f>
        <v>20548.573333333334</v>
      </c>
    </row>
    <row r="66" spans="2:18" ht="16.5" thickBot="1" x14ac:dyDescent="0.3">
      <c r="B66" s="56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4"/>
    </row>
    <row r="67" spans="2:18" ht="16.5" thickBot="1" x14ac:dyDescent="0.3">
      <c r="B67" s="87" t="s">
        <v>48</v>
      </c>
      <c r="C67" s="88">
        <f>C61-C63-C65</f>
        <v>11966.358217453726</v>
      </c>
      <c r="D67" s="89"/>
      <c r="E67" s="88">
        <f t="shared" ref="E67:P67" si="20">E61-E63-E65</f>
        <v>13575.704375737067</v>
      </c>
      <c r="F67" s="88">
        <f t="shared" si="20"/>
        <v>11085.337509101164</v>
      </c>
      <c r="G67" s="88">
        <f t="shared" si="20"/>
        <v>11085.337509101164</v>
      </c>
      <c r="H67" s="88">
        <f t="shared" si="20"/>
        <v>10877.806936881505</v>
      </c>
      <c r="I67" s="88">
        <f t="shared" si="20"/>
        <v>10877.806936881505</v>
      </c>
      <c r="J67" s="88">
        <f t="shared" si="20"/>
        <v>10877.806936881505</v>
      </c>
      <c r="K67" s="88">
        <f t="shared" si="20"/>
        <v>14059.942377582936</v>
      </c>
      <c r="L67" s="88">
        <f t="shared" si="20"/>
        <v>14059.942377582936</v>
      </c>
      <c r="M67" s="88">
        <f t="shared" si="20"/>
        <v>11569.575510947034</v>
      </c>
      <c r="N67" s="88">
        <f t="shared" si="20"/>
        <v>14682.534094241908</v>
      </c>
      <c r="O67" s="88">
        <f t="shared" si="20"/>
        <v>11431.221796133928</v>
      </c>
      <c r="P67" s="88">
        <f t="shared" si="20"/>
        <v>9425.0929313438955</v>
      </c>
      <c r="Q67" s="103"/>
      <c r="R67" s="100">
        <f>SUM(E67:P67)</f>
        <v>143608.10929241654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66" fitToHeight="0" orientation="landscape" r:id="rId1"/>
  <headerFooter>
    <oddHeader>&amp;C&amp;18Projected P and L</oddHeader>
  </headerFooter>
  <ignoredErrors>
    <ignoredError sqref="C11 C34 C56" unlockedFormula="1"/>
    <ignoredError sqref="F12 H12 J12 M12 O12 F35 H35 J35 M35 O35 F57 H57 J57 M57 O5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F678-6832-4E5A-8B6F-D9E0580492B1}">
  <dimension ref="A1:K64"/>
  <sheetViews>
    <sheetView tabSelected="1" zoomScale="125" zoomScaleNormal="125" workbookViewId="0">
      <selection activeCell="D15" sqref="D15"/>
    </sheetView>
  </sheetViews>
  <sheetFormatPr defaultColWidth="12.5" defaultRowHeight="15.75" x14ac:dyDescent="0.25"/>
  <cols>
    <col min="1" max="1" width="6" style="2" customWidth="1"/>
    <col min="2" max="2" width="59.875" style="2" customWidth="1"/>
    <col min="3" max="3" width="12.5" style="1" bestFit="1" customWidth="1"/>
    <col min="4" max="4" width="14" style="2" customWidth="1"/>
    <col min="5" max="5" width="10.5" style="2" bestFit="1" customWidth="1"/>
    <col min="6" max="6" width="19.375" style="2" customWidth="1"/>
    <col min="7" max="7" width="12.125" style="2" bestFit="1" customWidth="1"/>
    <col min="8" max="8" width="17" style="2" customWidth="1"/>
    <col min="9" max="9" width="21.5" style="2" customWidth="1"/>
    <col min="10" max="16384" width="12.5" style="2"/>
  </cols>
  <sheetData>
    <row r="1" spans="1:6" x14ac:dyDescent="0.25">
      <c r="B1" s="18" t="s">
        <v>58</v>
      </c>
    </row>
    <row r="3" spans="1:6" s="3" customFormat="1" x14ac:dyDescent="0.25">
      <c r="A3" s="2"/>
      <c r="B3" s="18" t="s">
        <v>59</v>
      </c>
      <c r="C3" s="19"/>
    </row>
    <row r="5" spans="1:6" x14ac:dyDescent="0.25">
      <c r="B5" s="2" t="s">
        <v>60</v>
      </c>
      <c r="D5" s="1">
        <v>295000</v>
      </c>
      <c r="F5" s="1"/>
    </row>
    <row r="6" spans="1:6" x14ac:dyDescent="0.25">
      <c r="D6" s="1"/>
      <c r="F6" s="1"/>
    </row>
    <row r="7" spans="1:6" x14ac:dyDescent="0.25">
      <c r="B7" s="2" t="s">
        <v>61</v>
      </c>
      <c r="D7" s="1">
        <v>8700</v>
      </c>
      <c r="F7" s="1"/>
    </row>
    <row r="8" spans="1:6" x14ac:dyDescent="0.25">
      <c r="D8" s="1"/>
      <c r="F8" s="1"/>
    </row>
    <row r="9" spans="1:6" x14ac:dyDescent="0.25">
      <c r="B9" s="2" t="s">
        <v>62</v>
      </c>
      <c r="D9" s="1">
        <v>575000</v>
      </c>
      <c r="F9" s="1"/>
    </row>
    <row r="10" spans="1:6" x14ac:dyDescent="0.25">
      <c r="D10" s="1"/>
      <c r="F10" s="1"/>
    </row>
    <row r="11" spans="1:6" x14ac:dyDescent="0.25">
      <c r="B11" s="2" t="s">
        <v>63</v>
      </c>
      <c r="D11" s="1">
        <v>70000</v>
      </c>
      <c r="F11" s="1"/>
    </row>
    <row r="12" spans="1:6" x14ac:dyDescent="0.25">
      <c r="D12" s="1"/>
      <c r="F12" s="1"/>
    </row>
    <row r="13" spans="1:6" x14ac:dyDescent="0.25">
      <c r="B13" s="2" t="s">
        <v>64</v>
      </c>
      <c r="D13" s="1">
        <v>26300</v>
      </c>
      <c r="F13" s="1"/>
    </row>
    <row r="14" spans="1:6" x14ac:dyDescent="0.25">
      <c r="D14" s="1"/>
      <c r="F14" s="1"/>
    </row>
    <row r="15" spans="1:6" x14ac:dyDescent="0.25">
      <c r="B15" s="105" t="s">
        <v>93</v>
      </c>
      <c r="C15" s="21">
        <v>0.1</v>
      </c>
      <c r="D15" s="106">
        <f>D22*C15*2</f>
        <v>130000</v>
      </c>
      <c r="F15" s="1"/>
    </row>
    <row r="16" spans="1:6" x14ac:dyDescent="0.25">
      <c r="D16" s="1"/>
      <c r="F16" s="1"/>
    </row>
    <row r="17" spans="1:9" x14ac:dyDescent="0.25">
      <c r="B17" s="2" t="s">
        <v>69</v>
      </c>
      <c r="C17" s="21">
        <v>0.15</v>
      </c>
      <c r="D17" s="1">
        <f>D19*C17</f>
        <v>195000</v>
      </c>
      <c r="F17" s="1"/>
    </row>
    <row r="18" spans="1:9" x14ac:dyDescent="0.25">
      <c r="D18" s="1"/>
    </row>
    <row r="19" spans="1:9" s="3" customFormat="1" x14ac:dyDescent="0.25">
      <c r="A19" s="2"/>
      <c r="B19" s="3" t="s">
        <v>88</v>
      </c>
      <c r="D19" s="19">
        <f>SUM(D5:D13)/(1-C17-C15)</f>
        <v>1300000</v>
      </c>
      <c r="E19" s="52"/>
      <c r="F19" s="19"/>
      <c r="H19" s="19"/>
    </row>
    <row r="20" spans="1:9" s="3" customFormat="1" x14ac:dyDescent="0.25">
      <c r="A20" s="2"/>
      <c r="C20" s="19"/>
      <c r="D20" s="19"/>
      <c r="E20" s="52"/>
      <c r="F20" s="19"/>
    </row>
    <row r="21" spans="1:9" s="3" customFormat="1" x14ac:dyDescent="0.25">
      <c r="A21" s="2"/>
      <c r="C21" s="19"/>
      <c r="D21" s="19"/>
      <c r="E21" s="52"/>
      <c r="F21" s="19"/>
    </row>
    <row r="22" spans="1:9" x14ac:dyDescent="0.25">
      <c r="B22" s="2" t="s">
        <v>80</v>
      </c>
      <c r="C22" s="21">
        <v>0.5</v>
      </c>
      <c r="D22" s="1">
        <f>D19*C22</f>
        <v>650000</v>
      </c>
      <c r="E22" s="53"/>
    </row>
    <row r="23" spans="1:9" s="3" customFormat="1" x14ac:dyDescent="0.25">
      <c r="A23" s="2"/>
      <c r="B23" s="3" t="s">
        <v>81</v>
      </c>
      <c r="C23" s="48">
        <f>1-C22</f>
        <v>0.5</v>
      </c>
      <c r="D23" s="19">
        <f>D19*C23</f>
        <v>650000</v>
      </c>
      <c r="E23" s="52"/>
      <c r="F23" s="19"/>
    </row>
    <row r="25" spans="1:9" s="3" customFormat="1" x14ac:dyDescent="0.25">
      <c r="A25" s="2"/>
      <c r="B25" s="2"/>
      <c r="C25" s="2"/>
      <c r="D25" s="1"/>
      <c r="E25" s="19"/>
      <c r="F25" s="19"/>
    </row>
    <row r="26" spans="1:9" s="18" customFormat="1" x14ac:dyDescent="0.25">
      <c r="A26" s="17"/>
      <c r="B26" s="18" t="s">
        <v>72</v>
      </c>
      <c r="C26" s="20"/>
      <c r="D26" s="18" t="s">
        <v>65</v>
      </c>
      <c r="E26" s="18" t="s">
        <v>66</v>
      </c>
      <c r="F26" s="18" t="s">
        <v>67</v>
      </c>
      <c r="G26" s="54" t="s">
        <v>82</v>
      </c>
    </row>
    <row r="27" spans="1:9" x14ac:dyDescent="0.25">
      <c r="B27" s="18"/>
    </row>
    <row r="28" spans="1:9" x14ac:dyDescent="0.25">
      <c r="B28" s="2" t="s">
        <v>75</v>
      </c>
      <c r="C28" s="1">
        <f>'P and L '!R22</f>
        <v>156225.48916666667</v>
      </c>
      <c r="D28" s="1"/>
      <c r="E28" s="1"/>
      <c r="F28" s="1"/>
      <c r="G28" s="1"/>
    </row>
    <row r="29" spans="1:9" x14ac:dyDescent="0.25">
      <c r="A29" s="2">
        <v>1</v>
      </c>
      <c r="B29" s="2" t="s">
        <v>89</v>
      </c>
      <c r="C29" s="49">
        <v>0.05</v>
      </c>
      <c r="D29" s="1"/>
      <c r="E29" s="1">
        <f>C28*(1+$C$29)</f>
        <v>164036.76362499999</v>
      </c>
      <c r="F29" s="1">
        <f>E29*(1+$C$29)</f>
        <v>172238.60180624999</v>
      </c>
      <c r="G29" s="1"/>
      <c r="I29" s="22"/>
    </row>
    <row r="30" spans="1:9" x14ac:dyDescent="0.25">
      <c r="A30" s="2">
        <v>2</v>
      </c>
      <c r="B30" s="2" t="s">
        <v>90</v>
      </c>
      <c r="D30" s="1">
        <f>D15/2</f>
        <v>65000</v>
      </c>
      <c r="E30" s="1">
        <f>D15/2</f>
        <v>65000</v>
      </c>
      <c r="F30" s="1">
        <f>D15/2</f>
        <v>65000</v>
      </c>
      <c r="G30" s="1"/>
      <c r="I30" s="22"/>
    </row>
    <row r="31" spans="1:9" x14ac:dyDescent="0.25">
      <c r="A31" s="2">
        <v>3</v>
      </c>
      <c r="B31" s="2" t="s">
        <v>91</v>
      </c>
      <c r="C31" s="49">
        <v>0.1</v>
      </c>
      <c r="E31" s="1">
        <f>$C$31*$D$23</f>
        <v>65000</v>
      </c>
      <c r="F31" s="1">
        <f>$C$31*$D$23</f>
        <v>65000</v>
      </c>
      <c r="G31" s="1"/>
    </row>
    <row r="32" spans="1:9" x14ac:dyDescent="0.25">
      <c r="A32" s="2">
        <v>4</v>
      </c>
      <c r="B32" s="2" t="s">
        <v>70</v>
      </c>
      <c r="E32" s="1">
        <f>E29-E31-E30</f>
        <v>34036.763624999992</v>
      </c>
      <c r="F32" s="1">
        <f>F29-F31-F30</f>
        <v>42238.601806249993</v>
      </c>
      <c r="G32" s="1"/>
    </row>
    <row r="33" spans="1:11" x14ac:dyDescent="0.25">
      <c r="A33" s="2">
        <v>5</v>
      </c>
      <c r="B33" s="2" t="s">
        <v>83</v>
      </c>
      <c r="C33" s="49">
        <v>0.5</v>
      </c>
      <c r="D33" s="1"/>
      <c r="E33" s="1">
        <f>E32*$C$33*$C$23</f>
        <v>8509.1909062499981</v>
      </c>
      <c r="F33" s="1">
        <f>F32*$C$33*$C$23</f>
        <v>10559.650451562498</v>
      </c>
      <c r="G33" s="1"/>
    </row>
    <row r="34" spans="1:11" x14ac:dyDescent="0.25">
      <c r="A34" s="2">
        <v>6</v>
      </c>
      <c r="B34" s="2" t="s">
        <v>71</v>
      </c>
      <c r="E34" s="1">
        <f>E32-E33</f>
        <v>25527.572718749994</v>
      </c>
      <c r="F34" s="1">
        <f>F32-F33</f>
        <v>31678.951354687495</v>
      </c>
      <c r="G34" s="1"/>
    </row>
    <row r="35" spans="1:11" x14ac:dyDescent="0.25">
      <c r="B35" s="2" t="s">
        <v>87</v>
      </c>
      <c r="E35" s="23">
        <f>(E31+E33)/$D$23</f>
        <v>0.11309106293269232</v>
      </c>
      <c r="F35" s="23">
        <f>(F31+F33)/$D$23</f>
        <v>0.11624561607932692</v>
      </c>
      <c r="G35" s="1"/>
    </row>
    <row r="36" spans="1:11" s="45" customFormat="1" x14ac:dyDescent="0.25">
      <c r="A36" s="44">
        <v>7</v>
      </c>
      <c r="B36" s="45" t="s">
        <v>98</v>
      </c>
      <c r="C36" s="46"/>
      <c r="D36" s="46"/>
      <c r="E36" s="46">
        <f>(E31+E33)*0.8</f>
        <v>58807.352725000004</v>
      </c>
      <c r="F36" s="46">
        <f>(F31+F33)*0.8</f>
        <v>60447.720361250002</v>
      </c>
      <c r="G36" s="46"/>
      <c r="I36" s="46"/>
      <c r="J36" s="46"/>
      <c r="K36" s="46"/>
    </row>
    <row r="37" spans="1:11" x14ac:dyDescent="0.25">
      <c r="A37" s="2">
        <v>8</v>
      </c>
      <c r="B37" s="2" t="s">
        <v>92</v>
      </c>
      <c r="D37" s="1"/>
      <c r="E37" s="23">
        <f>E36/$D$23</f>
        <v>9.0472850346153849E-2</v>
      </c>
      <c r="F37" s="23">
        <f>F36/$D$23</f>
        <v>9.2996492863461538E-2</v>
      </c>
      <c r="G37" s="1"/>
    </row>
    <row r="38" spans="1:11" x14ac:dyDescent="0.25">
      <c r="D38" s="1"/>
      <c r="E38" s="23"/>
      <c r="F38" s="23"/>
      <c r="G38" s="1"/>
    </row>
    <row r="39" spans="1:11" x14ac:dyDescent="0.25">
      <c r="B39" s="47" t="s">
        <v>76</v>
      </c>
    </row>
    <row r="40" spans="1:11" x14ac:dyDescent="0.25">
      <c r="A40" s="2">
        <v>9</v>
      </c>
      <c r="B40" s="2" t="s">
        <v>68</v>
      </c>
      <c r="C40" s="2"/>
      <c r="D40" s="1"/>
      <c r="E40" s="1"/>
      <c r="G40" s="49">
        <v>9.5000000000000001E-2</v>
      </c>
    </row>
    <row r="41" spans="1:11" x14ac:dyDescent="0.25">
      <c r="A41" s="2">
        <v>10</v>
      </c>
      <c r="B41" s="2" t="s">
        <v>84</v>
      </c>
      <c r="C41" s="2"/>
      <c r="D41" s="1"/>
      <c r="E41" s="1"/>
      <c r="G41" s="1">
        <f>F29</f>
        <v>172238.60180624999</v>
      </c>
    </row>
    <row r="42" spans="1:11" x14ac:dyDescent="0.25">
      <c r="A42" s="2">
        <v>11</v>
      </c>
      <c r="B42" s="2" t="s">
        <v>85</v>
      </c>
      <c r="C42" s="2"/>
      <c r="D42" s="1"/>
      <c r="E42" s="1"/>
      <c r="F42" s="1"/>
      <c r="G42" s="1">
        <f>G41/G40</f>
        <v>1813037.9137499998</v>
      </c>
    </row>
    <row r="43" spans="1:11" x14ac:dyDescent="0.25">
      <c r="A43" s="2">
        <v>12</v>
      </c>
      <c r="B43" s="2" t="s">
        <v>94</v>
      </c>
      <c r="C43" s="49">
        <v>0.03</v>
      </c>
      <c r="D43" s="1"/>
      <c r="E43" s="1"/>
      <c r="F43" s="1"/>
      <c r="G43" s="1">
        <f>G42*$C$43</f>
        <v>54391.137412499993</v>
      </c>
    </row>
    <row r="44" spans="1:11" x14ac:dyDescent="0.25">
      <c r="A44" s="2">
        <v>13</v>
      </c>
      <c r="B44" s="2" t="s">
        <v>86</v>
      </c>
      <c r="D44" s="1"/>
      <c r="E44" s="1"/>
      <c r="F44" s="1"/>
      <c r="G44" s="1">
        <f>D22+D23</f>
        <v>1300000</v>
      </c>
    </row>
    <row r="45" spans="1:11" x14ac:dyDescent="0.25">
      <c r="D45" s="1"/>
      <c r="E45" s="1"/>
      <c r="F45" s="1"/>
      <c r="G45" s="1"/>
    </row>
    <row r="46" spans="1:11" x14ac:dyDescent="0.25">
      <c r="A46" s="2">
        <v>14</v>
      </c>
      <c r="B46" s="2" t="s">
        <v>74</v>
      </c>
      <c r="E46" s="1"/>
      <c r="F46" s="1"/>
      <c r="G46" s="1">
        <f>G42-G43-G44</f>
        <v>458646.77633749973</v>
      </c>
      <c r="I46" s="1"/>
    </row>
    <row r="47" spans="1:11" x14ac:dyDescent="0.25">
      <c r="E47" s="1"/>
      <c r="F47" s="1"/>
      <c r="G47" s="1"/>
      <c r="I47" s="1"/>
    </row>
    <row r="48" spans="1:11" x14ac:dyDescent="0.25">
      <c r="E48" s="1"/>
      <c r="F48" s="1"/>
      <c r="G48" s="1"/>
      <c r="I48" s="1"/>
    </row>
    <row r="49" spans="1:8" x14ac:dyDescent="0.25">
      <c r="A49" s="2">
        <v>15</v>
      </c>
      <c r="B49" s="2" t="s">
        <v>99</v>
      </c>
      <c r="C49" s="49">
        <v>0.15</v>
      </c>
      <c r="G49" s="50">
        <f>C49*G50</f>
        <v>0.44999999999999996</v>
      </c>
    </row>
    <row r="50" spans="1:8" x14ac:dyDescent="0.25">
      <c r="A50" s="2">
        <v>16</v>
      </c>
      <c r="B50" s="2" t="s">
        <v>95</v>
      </c>
      <c r="C50" s="2"/>
      <c r="G50" s="24">
        <v>3</v>
      </c>
    </row>
    <row r="51" spans="1:8" s="45" customFormat="1" x14ac:dyDescent="0.25">
      <c r="A51" s="44">
        <v>17</v>
      </c>
      <c r="B51" s="45" t="s">
        <v>96</v>
      </c>
      <c r="F51" s="46"/>
      <c r="G51" s="46">
        <f>G49*D23</f>
        <v>292500</v>
      </c>
    </row>
    <row r="52" spans="1:8" x14ac:dyDescent="0.25">
      <c r="A52" s="2">
        <v>18</v>
      </c>
      <c r="B52" s="2" t="s">
        <v>100</v>
      </c>
      <c r="C52" s="2"/>
      <c r="D52" s="1"/>
      <c r="E52" s="1"/>
      <c r="F52" s="1"/>
      <c r="G52" s="25">
        <f>(E36+F36)</f>
        <v>119255.07308625001</v>
      </c>
    </row>
    <row r="53" spans="1:8" ht="31.5" x14ac:dyDescent="0.25">
      <c r="A53" s="2">
        <v>19</v>
      </c>
      <c r="B53" s="104" t="s">
        <v>101</v>
      </c>
      <c r="C53" s="2"/>
      <c r="G53" s="1">
        <f>(G51-G52)/0.8</f>
        <v>216556.15864218751</v>
      </c>
      <c r="H53" s="22"/>
    </row>
    <row r="55" spans="1:8" ht="31.5" x14ac:dyDescent="0.25">
      <c r="A55" s="2">
        <v>20</v>
      </c>
      <c r="B55" s="104" t="s">
        <v>97</v>
      </c>
      <c r="F55" s="1"/>
      <c r="G55" s="1">
        <f>G46-G53</f>
        <v>242090.61769531222</v>
      </c>
    </row>
    <row r="56" spans="1:8" ht="31.5" x14ac:dyDescent="0.25">
      <c r="A56" s="2">
        <v>21</v>
      </c>
      <c r="B56" s="104" t="s">
        <v>102</v>
      </c>
      <c r="C56" s="49">
        <v>0.5</v>
      </c>
      <c r="F56" s="1"/>
      <c r="G56" s="1">
        <f>(G55*$C$56*C23)*0.8</f>
        <v>48418.12353906245</v>
      </c>
    </row>
    <row r="57" spans="1:8" x14ac:dyDescent="0.25">
      <c r="B57" s="2" t="s">
        <v>73</v>
      </c>
      <c r="F57" s="1"/>
      <c r="G57" s="1">
        <f>G55-(G56/0.8)</f>
        <v>181567.96327148416</v>
      </c>
    </row>
    <row r="58" spans="1:8" x14ac:dyDescent="0.25">
      <c r="C58" s="2"/>
      <c r="F58" s="1"/>
      <c r="G58" s="1"/>
    </row>
    <row r="59" spans="1:8" s="3" customFormat="1" x14ac:dyDescent="0.25">
      <c r="A59" s="2"/>
      <c r="B59" s="2"/>
      <c r="C59" s="2"/>
      <c r="E59" s="19"/>
      <c r="G59" s="1"/>
    </row>
    <row r="60" spans="1:8" x14ac:dyDescent="0.25">
      <c r="A60" s="2">
        <v>22</v>
      </c>
      <c r="B60" s="2" t="s">
        <v>103</v>
      </c>
      <c r="C60" s="2"/>
      <c r="F60" s="1"/>
      <c r="G60" s="1">
        <f>G51+(G56)</f>
        <v>340918.12353906245</v>
      </c>
    </row>
    <row r="61" spans="1:8" x14ac:dyDescent="0.25">
      <c r="A61" s="2">
        <v>23</v>
      </c>
      <c r="B61" s="2" t="s">
        <v>104</v>
      </c>
      <c r="C61" s="2"/>
      <c r="F61" s="23"/>
      <c r="G61" s="23">
        <f>IF(C23&gt;0,G60/$D$23,0)</f>
        <v>0.52448942082932681</v>
      </c>
    </row>
    <row r="62" spans="1:8" x14ac:dyDescent="0.25">
      <c r="A62" s="2">
        <v>24</v>
      </c>
      <c r="B62" s="3" t="s">
        <v>105</v>
      </c>
      <c r="C62" s="3"/>
      <c r="D62" s="3"/>
      <c r="E62" s="3"/>
      <c r="F62" s="48"/>
      <c r="G62" s="51">
        <f>G61/G50</f>
        <v>0.17482980694310893</v>
      </c>
    </row>
    <row r="63" spans="1:8" x14ac:dyDescent="0.25">
      <c r="C63" s="23"/>
    </row>
    <row r="64" spans="1:8" x14ac:dyDescent="0.25">
      <c r="C64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97B3A948ABA478DC8D524EE5723E1" ma:contentTypeVersion="18" ma:contentTypeDescription="Create a new document." ma:contentTypeScope="" ma:versionID="cc203774427adebc63f88b48338665a7">
  <xsd:schema xmlns:xsd="http://www.w3.org/2001/XMLSchema" xmlns:xs="http://www.w3.org/2001/XMLSchema" xmlns:p="http://schemas.microsoft.com/office/2006/metadata/properties" xmlns:ns2="c9d4cd52-22b0-4c08-b8cd-76d1c0f079d3" xmlns:ns3="61708cf3-6555-46d4-b734-e3b31316be47" targetNamespace="http://schemas.microsoft.com/office/2006/metadata/properties" ma:root="true" ma:fieldsID="0432e0df9f6c3516bdc1bca95cfdb826" ns2:_="" ns3:_="">
    <xsd:import namespace="c9d4cd52-22b0-4c08-b8cd-76d1c0f079d3"/>
    <xsd:import namespace="61708cf3-6555-46d4-b734-e3b31316be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4cd52-22b0-4c08-b8cd-76d1c0f07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3df0942-16d9-41d7-a394-0ef03758c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08cf3-6555-46d4-b734-e3b31316be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f0dd6bd-6f53-46c4-bc56-169095b59461}" ma:internalName="TaxCatchAll" ma:showField="CatchAllData" ma:web="61708cf3-6555-46d4-b734-e3b31316be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1708cf3-6555-46d4-b734-e3b31316be47">
      <UserInfo>
        <DisplayName>Tony Davies</DisplayName>
        <AccountId>37</AccountId>
        <AccountType/>
      </UserInfo>
    </SharedWithUsers>
    <MediaLengthInSeconds xmlns="c9d4cd52-22b0-4c08-b8cd-76d1c0f079d3" xsi:nil="true"/>
    <_Flow_SignoffStatus xmlns="c9d4cd52-22b0-4c08-b8cd-76d1c0f079d3" xsi:nil="true"/>
    <TaxCatchAll xmlns="61708cf3-6555-46d4-b734-e3b31316be47" xsi:nil="true"/>
    <lcf76f155ced4ddcb4097134ff3c332f xmlns="c9d4cd52-22b0-4c08-b8cd-76d1c0f079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93B287-CBA1-4361-A1B4-C75858E91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4cd52-22b0-4c08-b8cd-76d1c0f079d3"/>
    <ds:schemaRef ds:uri="61708cf3-6555-46d4-b734-e3b31316be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777D6-1B8A-4912-922F-482BE0B13AD9}">
  <ds:schemaRefs>
    <ds:schemaRef ds:uri="c9d4cd52-22b0-4c08-b8cd-76d1c0f079d3"/>
    <ds:schemaRef ds:uri="http://schemas.microsoft.com/office/2006/metadata/properties"/>
    <ds:schemaRef ds:uri="61708cf3-6555-46d4-b734-e3b31316be47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9795E65-9212-4F34-9597-D66C67B764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Costs</vt:lpstr>
      <vt:lpstr>P and L </vt:lpstr>
      <vt:lpstr>Brochure Summary</vt:lpstr>
      <vt:lpstr>'P and L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W Smith</cp:lastModifiedBy>
  <cp:revision/>
  <cp:lastPrinted>2022-02-21T14:12:30Z</cp:lastPrinted>
  <dcterms:created xsi:type="dcterms:W3CDTF">2021-03-12T09:28:49Z</dcterms:created>
  <dcterms:modified xsi:type="dcterms:W3CDTF">2023-10-31T08:24:11Z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0x010100FDA97B3A948ABA478DC8D524EE5723E1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